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24226"/>
  <mc:AlternateContent xmlns:mc="http://schemas.openxmlformats.org/markup-compatibility/2006">
    <mc:Choice Requires="x15">
      <x15ac:absPath xmlns:x15ac="http://schemas.microsoft.com/office/spreadsheetml/2010/11/ac" url="C:\Users\Public\ЗА ПУБЛИКУВАНЕ\"/>
    </mc:Choice>
  </mc:AlternateContent>
  <bookViews>
    <workbookView xWindow="32760" yWindow="32760" windowWidth="23040" windowHeight="9030"/>
  </bookViews>
  <sheets>
    <sheet name="Sheet1" sheetId="3" r:id="rId1"/>
    <sheet name="Sheet2" sheetId="6" r:id="rId2"/>
    <sheet name="Sheet3" sheetId="5" r:id="rId3"/>
  </sheets>
  <calcPr calcId="162913"/>
</workbook>
</file>

<file path=xl/calcChain.xml><?xml version="1.0" encoding="utf-8"?>
<calcChain xmlns="http://schemas.openxmlformats.org/spreadsheetml/2006/main">
  <c r="O255" i="3" l="1"/>
  <c r="O244" i="3"/>
  <c r="O227" i="3"/>
  <c r="O210" i="3"/>
  <c r="O193" i="3"/>
  <c r="J188" i="3"/>
  <c r="J191" i="3"/>
  <c r="L191" i="3"/>
  <c r="L188" i="3"/>
  <c r="E143" i="3"/>
  <c r="O160" i="3"/>
  <c r="J160" i="3"/>
  <c r="G160" i="3"/>
  <c r="E160" i="3"/>
  <c r="O158" i="3"/>
  <c r="O141" i="3"/>
  <c r="O161" i="3"/>
  <c r="O124" i="3"/>
  <c r="O95" i="3"/>
  <c r="O94" i="3"/>
  <c r="O77" i="3"/>
  <c r="O60" i="3"/>
  <c r="O31" i="3"/>
  <c r="L185" i="3"/>
  <c r="I159" i="3"/>
  <c r="G12" i="3"/>
  <c r="G14" i="3"/>
  <c r="G16" i="3"/>
  <c r="G18" i="3"/>
  <c r="G20" i="3"/>
  <c r="G22" i="3"/>
  <c r="G24" i="3"/>
  <c r="G26" i="3"/>
  <c r="G43" i="3"/>
  <c r="G45" i="3"/>
  <c r="G47" i="3"/>
  <c r="G49" i="3"/>
  <c r="G51" i="3"/>
  <c r="G53" i="3"/>
  <c r="G55" i="3"/>
  <c r="G57" i="3"/>
  <c r="G59" i="3"/>
  <c r="H43" i="3"/>
  <c r="H45" i="3"/>
  <c r="H47" i="3"/>
  <c r="H49" i="3"/>
  <c r="H51" i="3"/>
  <c r="H53" i="3"/>
  <c r="H55" i="3"/>
  <c r="H57" i="3"/>
  <c r="H59" i="3"/>
  <c r="G171" i="3"/>
  <c r="G173" i="3"/>
  <c r="G175" i="3"/>
  <c r="G177" i="3"/>
  <c r="G179" i="3"/>
  <c r="G181" i="3"/>
  <c r="G183" i="3"/>
  <c r="J12" i="3"/>
  <c r="J14" i="3"/>
  <c r="J16" i="3"/>
  <c r="J18" i="3"/>
  <c r="J20" i="3"/>
  <c r="H12" i="3"/>
  <c r="H14" i="3"/>
  <c r="H16" i="3"/>
  <c r="H18" i="3"/>
  <c r="H20" i="3"/>
  <c r="H22" i="3"/>
  <c r="H24" i="3"/>
  <c r="H26" i="3"/>
  <c r="H28" i="3"/>
  <c r="H171" i="3"/>
  <c r="H173" i="3"/>
  <c r="J171" i="3"/>
  <c r="J173" i="3"/>
  <c r="H246" i="3"/>
  <c r="H247" i="3"/>
  <c r="H248" i="3"/>
  <c r="H249" i="3"/>
  <c r="H250" i="3"/>
  <c r="H251" i="3"/>
  <c r="H252" i="3"/>
  <c r="H253" i="3"/>
  <c r="H254" i="3"/>
  <c r="H255" i="3"/>
  <c r="G246" i="3"/>
  <c r="G247" i="3"/>
  <c r="G248" i="3"/>
  <c r="G249" i="3"/>
  <c r="G250" i="3"/>
  <c r="G251" i="3"/>
  <c r="G252" i="3"/>
  <c r="G253" i="3"/>
  <c r="G254" i="3"/>
  <c r="G255" i="3"/>
  <c r="N167" i="3"/>
  <c r="I171" i="3"/>
  <c r="I173" i="3"/>
  <c r="H105" i="3"/>
  <c r="H107" i="3"/>
  <c r="H109" i="3"/>
  <c r="H111" i="3"/>
  <c r="H113" i="3"/>
  <c r="H115" i="3"/>
  <c r="H117" i="3"/>
  <c r="G105" i="3"/>
  <c r="I4" i="3"/>
  <c r="K4" i="3"/>
  <c r="J4" i="3"/>
  <c r="J5" i="3"/>
  <c r="J6" i="3"/>
  <c r="J7" i="3"/>
  <c r="J8" i="3"/>
  <c r="J9" i="3"/>
  <c r="J10" i="3"/>
  <c r="J11" i="3"/>
  <c r="J13" i="3"/>
  <c r="J15" i="3"/>
  <c r="J17" i="3"/>
  <c r="J19" i="3"/>
  <c r="E5" i="3"/>
  <c r="E6" i="3"/>
  <c r="E7" i="3"/>
  <c r="E8" i="3"/>
  <c r="E9" i="3"/>
  <c r="E10" i="3"/>
  <c r="E11" i="3"/>
  <c r="E13" i="3"/>
  <c r="E15" i="3"/>
  <c r="E17" i="3"/>
  <c r="E19" i="3"/>
  <c r="E21" i="3"/>
  <c r="E23" i="3"/>
  <c r="E25" i="3"/>
  <c r="E27" i="3"/>
  <c r="E29" i="3"/>
  <c r="G5" i="3"/>
  <c r="G6" i="3"/>
  <c r="G7" i="3"/>
  <c r="G8" i="3"/>
  <c r="G9" i="3"/>
  <c r="G10" i="3"/>
  <c r="G11" i="3"/>
  <c r="G13" i="3"/>
  <c r="G15" i="3"/>
  <c r="G17" i="3"/>
  <c r="G19" i="3"/>
  <c r="G21" i="3"/>
  <c r="G23" i="3"/>
  <c r="G25" i="3"/>
  <c r="G27" i="3"/>
  <c r="G29" i="3"/>
  <c r="H5" i="3"/>
  <c r="H6" i="3"/>
  <c r="E12" i="3"/>
  <c r="K33" i="3"/>
  <c r="L33" i="3"/>
  <c r="E34" i="3"/>
  <c r="E35" i="3"/>
  <c r="E36" i="3"/>
  <c r="E37" i="3"/>
  <c r="E38" i="3"/>
  <c r="E39" i="3"/>
  <c r="E40" i="3"/>
  <c r="E42" i="3"/>
  <c r="E44" i="3"/>
  <c r="E46" i="3"/>
  <c r="E48" i="3"/>
  <c r="E50" i="3"/>
  <c r="E52" i="3"/>
  <c r="E54" i="3"/>
  <c r="E56" i="3"/>
  <c r="E58" i="3"/>
  <c r="G34" i="3"/>
  <c r="G35" i="3"/>
  <c r="G36" i="3"/>
  <c r="G37" i="3"/>
  <c r="G38" i="3"/>
  <c r="G39" i="3"/>
  <c r="G40" i="3"/>
  <c r="G42" i="3"/>
  <c r="G44" i="3"/>
  <c r="G46" i="3"/>
  <c r="G48" i="3"/>
  <c r="G50" i="3"/>
  <c r="G52" i="3"/>
  <c r="G54" i="3"/>
  <c r="G56" i="3"/>
  <c r="G58" i="3"/>
  <c r="G60" i="3"/>
  <c r="H34" i="3"/>
  <c r="I34" i="3"/>
  <c r="I35" i="3"/>
  <c r="J34" i="3"/>
  <c r="J35" i="3"/>
  <c r="J36" i="3"/>
  <c r="E41" i="3"/>
  <c r="E43" i="3"/>
  <c r="E45" i="3"/>
  <c r="E47" i="3"/>
  <c r="E49" i="3"/>
  <c r="E51" i="3"/>
  <c r="E53" i="3"/>
  <c r="E55" i="3"/>
  <c r="E57" i="3"/>
  <c r="E59" i="3"/>
  <c r="I41" i="3"/>
  <c r="J41" i="3"/>
  <c r="J43" i="3"/>
  <c r="K61" i="3"/>
  <c r="L61" i="3"/>
  <c r="E62" i="3"/>
  <c r="E63" i="3"/>
  <c r="E64" i="3"/>
  <c r="E65" i="3"/>
  <c r="E66" i="3"/>
  <c r="E67" i="3"/>
  <c r="E68" i="3"/>
  <c r="E69" i="3"/>
  <c r="E70" i="3"/>
  <c r="E71" i="3"/>
  <c r="E72" i="3"/>
  <c r="E73" i="3"/>
  <c r="E74" i="3"/>
  <c r="E75" i="3"/>
  <c r="E77" i="3"/>
  <c r="G62" i="3"/>
  <c r="G63" i="3"/>
  <c r="G64" i="3"/>
  <c r="G65" i="3"/>
  <c r="H62" i="3"/>
  <c r="H63" i="3"/>
  <c r="H64" i="3"/>
  <c r="H65" i="3"/>
  <c r="H66" i="3"/>
  <c r="H67" i="3"/>
  <c r="H68" i="3"/>
  <c r="H69" i="3"/>
  <c r="H70" i="3"/>
  <c r="H71" i="3"/>
  <c r="H72" i="3"/>
  <c r="H73" i="3"/>
  <c r="H74" i="3"/>
  <c r="H75" i="3"/>
  <c r="H76" i="3"/>
  <c r="H77" i="3"/>
  <c r="I62" i="3"/>
  <c r="I63" i="3"/>
  <c r="J62" i="3"/>
  <c r="J63" i="3"/>
  <c r="J64" i="3"/>
  <c r="K78" i="3"/>
  <c r="L78" i="3"/>
  <c r="E79" i="3"/>
  <c r="E80" i="3"/>
  <c r="E81" i="3"/>
  <c r="E82" i="3"/>
  <c r="E83" i="3"/>
  <c r="E84" i="3"/>
  <c r="E85" i="3"/>
  <c r="E86" i="3"/>
  <c r="E87" i="3"/>
  <c r="E88" i="3"/>
  <c r="E89" i="3"/>
  <c r="E90" i="3"/>
  <c r="E91" i="3"/>
  <c r="E92" i="3"/>
  <c r="E94" i="3"/>
  <c r="G79" i="3"/>
  <c r="G80" i="3"/>
  <c r="G81" i="3"/>
  <c r="G82" i="3"/>
  <c r="G83" i="3"/>
  <c r="G84" i="3"/>
  <c r="G85" i="3"/>
  <c r="G86" i="3"/>
  <c r="G87" i="3"/>
  <c r="G88" i="3"/>
  <c r="H79" i="3"/>
  <c r="H80" i="3"/>
  <c r="H81" i="3"/>
  <c r="H82" i="3"/>
  <c r="H83" i="3"/>
  <c r="H84" i="3"/>
  <c r="H85" i="3"/>
  <c r="H86" i="3"/>
  <c r="H87" i="3"/>
  <c r="H88" i="3"/>
  <c r="H89" i="3"/>
  <c r="H90" i="3"/>
  <c r="H91" i="3"/>
  <c r="H92" i="3"/>
  <c r="H93" i="3"/>
  <c r="H94" i="3"/>
  <c r="I79" i="3"/>
  <c r="I80" i="3"/>
  <c r="J79" i="3"/>
  <c r="J80" i="3"/>
  <c r="J81" i="3"/>
  <c r="M81" i="3"/>
  <c r="M82" i="3"/>
  <c r="M83" i="3"/>
  <c r="K97" i="3"/>
  <c r="L97" i="3"/>
  <c r="E98" i="3"/>
  <c r="E99" i="3"/>
  <c r="E100" i="3"/>
  <c r="E101" i="3"/>
  <c r="E102" i="3"/>
  <c r="E103" i="3"/>
  <c r="E104" i="3"/>
  <c r="E106" i="3"/>
  <c r="E108" i="3"/>
  <c r="E110" i="3"/>
  <c r="E112" i="3"/>
  <c r="E114" i="3"/>
  <c r="E116" i="3"/>
  <c r="E118" i="3"/>
  <c r="E120" i="3"/>
  <c r="E122" i="3"/>
  <c r="G98" i="3"/>
  <c r="G99" i="3"/>
  <c r="G100" i="3"/>
  <c r="G101" i="3"/>
  <c r="H98" i="3"/>
  <c r="H99" i="3"/>
  <c r="H100" i="3"/>
  <c r="I98" i="3"/>
  <c r="I99" i="3"/>
  <c r="I100" i="3"/>
  <c r="I101" i="3"/>
  <c r="I102" i="3"/>
  <c r="J98" i="3"/>
  <c r="J99" i="3"/>
  <c r="E105" i="3"/>
  <c r="E107" i="3"/>
  <c r="E109" i="3"/>
  <c r="E111" i="3"/>
  <c r="E113" i="3"/>
  <c r="E115" i="3"/>
  <c r="E117" i="3"/>
  <c r="E119" i="3"/>
  <c r="E121" i="3"/>
  <c r="E123" i="3"/>
  <c r="I105" i="3"/>
  <c r="I107" i="3"/>
  <c r="I109" i="3"/>
  <c r="J105" i="3"/>
  <c r="J107" i="3"/>
  <c r="J109" i="3"/>
  <c r="J111" i="3"/>
  <c r="K125" i="3"/>
  <c r="L125" i="3"/>
  <c r="E126" i="3"/>
  <c r="E127" i="3"/>
  <c r="E128" i="3"/>
  <c r="E129" i="3"/>
  <c r="E130" i="3"/>
  <c r="E131" i="3"/>
  <c r="E132" i="3"/>
  <c r="E133" i="3"/>
  <c r="E134" i="3"/>
  <c r="E135" i="3"/>
  <c r="E136" i="3"/>
  <c r="E137" i="3"/>
  <c r="E138" i="3"/>
  <c r="E139" i="3"/>
  <c r="E140" i="3"/>
  <c r="E141" i="3"/>
  <c r="G126" i="3"/>
  <c r="G127" i="3"/>
  <c r="G128" i="3"/>
  <c r="G129" i="3"/>
  <c r="G130" i="3"/>
  <c r="G131" i="3"/>
  <c r="G132" i="3"/>
  <c r="G133" i="3"/>
  <c r="G134" i="3"/>
  <c r="G135" i="3"/>
  <c r="G136" i="3"/>
  <c r="G137" i="3"/>
  <c r="G138" i="3"/>
  <c r="G139" i="3"/>
  <c r="G140" i="3"/>
  <c r="G141" i="3"/>
  <c r="H126" i="3"/>
  <c r="H127" i="3"/>
  <c r="H128" i="3"/>
  <c r="H129" i="3"/>
  <c r="H130" i="3"/>
  <c r="H131" i="3"/>
  <c r="H132" i="3"/>
  <c r="H133" i="3"/>
  <c r="H134" i="3"/>
  <c r="H135" i="3"/>
  <c r="H136" i="3"/>
  <c r="H137" i="3"/>
  <c r="H138" i="3"/>
  <c r="H139" i="3"/>
  <c r="H140" i="3"/>
  <c r="H141" i="3"/>
  <c r="I126" i="3"/>
  <c r="I127" i="3"/>
  <c r="J126" i="3"/>
  <c r="M128" i="3"/>
  <c r="M129" i="3"/>
  <c r="K142" i="3"/>
  <c r="L142" i="3"/>
  <c r="E144" i="3"/>
  <c r="E145" i="3"/>
  <c r="E146" i="3"/>
  <c r="E147" i="3"/>
  <c r="E148" i="3"/>
  <c r="E149" i="3"/>
  <c r="E150" i="3"/>
  <c r="E151" i="3"/>
  <c r="E152" i="3"/>
  <c r="E153" i="3"/>
  <c r="E154" i="3"/>
  <c r="E155" i="3"/>
  <c r="E156" i="3"/>
  <c r="E157" i="3"/>
  <c r="E158" i="3"/>
  <c r="G143" i="3"/>
  <c r="G144" i="3"/>
  <c r="G145" i="3"/>
  <c r="H143" i="3"/>
  <c r="H144" i="3"/>
  <c r="H145" i="3"/>
  <c r="H146" i="3"/>
  <c r="I143" i="3"/>
  <c r="I144" i="3"/>
  <c r="J143" i="3"/>
  <c r="H159" i="3"/>
  <c r="L159" i="3"/>
  <c r="K163" i="3"/>
  <c r="L163" i="3"/>
  <c r="E164" i="3"/>
  <c r="E165" i="3"/>
  <c r="E166" i="3"/>
  <c r="E167" i="3"/>
  <c r="E168" i="3"/>
  <c r="E169" i="3"/>
  <c r="E170" i="3"/>
  <c r="E172" i="3"/>
  <c r="E174" i="3"/>
  <c r="E176" i="3"/>
  <c r="E178" i="3"/>
  <c r="E180" i="3"/>
  <c r="E182" i="3"/>
  <c r="E184" i="3"/>
  <c r="E187" i="3"/>
  <c r="E190" i="3"/>
  <c r="G164" i="3"/>
  <c r="G165" i="3"/>
  <c r="G166" i="3"/>
  <c r="G167" i="3"/>
  <c r="G168" i="3"/>
  <c r="G169" i="3"/>
  <c r="G170" i="3"/>
  <c r="G172" i="3"/>
  <c r="G174" i="3"/>
  <c r="G176" i="3"/>
  <c r="G178" i="3"/>
  <c r="G180" i="3"/>
  <c r="G182" i="3"/>
  <c r="G184" i="3"/>
  <c r="G187" i="3"/>
  <c r="G190" i="3"/>
  <c r="G193" i="3"/>
  <c r="H164" i="3"/>
  <c r="H165" i="3"/>
  <c r="H166" i="3"/>
  <c r="H167" i="3"/>
  <c r="H168" i="3"/>
  <c r="H169" i="3"/>
  <c r="H170" i="3"/>
  <c r="H172" i="3"/>
  <c r="H174" i="3"/>
  <c r="H176" i="3"/>
  <c r="H178" i="3"/>
  <c r="H180" i="3"/>
  <c r="H182" i="3"/>
  <c r="H184" i="3"/>
  <c r="H187" i="3"/>
  <c r="H190" i="3"/>
  <c r="I164" i="3"/>
  <c r="J164" i="3"/>
  <c r="E171" i="3"/>
  <c r="E173" i="3"/>
  <c r="E175" i="3"/>
  <c r="E177" i="3"/>
  <c r="E179" i="3"/>
  <c r="E181" i="3"/>
  <c r="E183" i="3"/>
  <c r="E186" i="3"/>
  <c r="E189" i="3"/>
  <c r="E192" i="3"/>
  <c r="K194" i="3"/>
  <c r="L194" i="3"/>
  <c r="E195" i="3"/>
  <c r="E196" i="3"/>
  <c r="E197" i="3"/>
  <c r="E198" i="3"/>
  <c r="E199" i="3"/>
  <c r="E200" i="3"/>
  <c r="E201" i="3"/>
  <c r="E202" i="3"/>
  <c r="E203" i="3"/>
  <c r="E204" i="3"/>
  <c r="E205" i="3"/>
  <c r="E206" i="3"/>
  <c r="E207" i="3"/>
  <c r="E208" i="3"/>
  <c r="E209" i="3"/>
  <c r="E210" i="3"/>
  <c r="G195" i="3"/>
  <c r="G196" i="3"/>
  <c r="G197" i="3"/>
  <c r="G198" i="3"/>
  <c r="G199" i="3"/>
  <c r="G200" i="3"/>
  <c r="G201" i="3"/>
  <c r="G202" i="3"/>
  <c r="G203" i="3"/>
  <c r="G204" i="3"/>
  <c r="G205" i="3"/>
  <c r="G206" i="3"/>
  <c r="G207" i="3"/>
  <c r="G208" i="3"/>
  <c r="G209" i="3"/>
  <c r="G210" i="3"/>
  <c r="H195" i="3"/>
  <c r="H196" i="3"/>
  <c r="I195" i="3"/>
  <c r="J195" i="3"/>
  <c r="J196" i="3"/>
  <c r="J197" i="3"/>
  <c r="M198" i="3"/>
  <c r="K211" i="3"/>
  <c r="L211" i="3"/>
  <c r="E212" i="3"/>
  <c r="E213" i="3"/>
  <c r="E214" i="3"/>
  <c r="E215" i="3"/>
  <c r="E216" i="3"/>
  <c r="E217" i="3"/>
  <c r="E218" i="3"/>
  <c r="E219" i="3"/>
  <c r="E220" i="3"/>
  <c r="E221" i="3"/>
  <c r="E222" i="3"/>
  <c r="E223" i="3"/>
  <c r="E224" i="3"/>
  <c r="E225" i="3"/>
  <c r="E226" i="3"/>
  <c r="E227" i="3"/>
  <c r="G212" i="3"/>
  <c r="G213" i="3"/>
  <c r="G214" i="3"/>
  <c r="G215" i="3"/>
  <c r="G216" i="3"/>
  <c r="G217" i="3"/>
  <c r="G218" i="3"/>
  <c r="G219" i="3"/>
  <c r="G220" i="3"/>
  <c r="G221" i="3"/>
  <c r="G222" i="3"/>
  <c r="G223" i="3"/>
  <c r="G224" i="3"/>
  <c r="G225" i="3"/>
  <c r="G226" i="3"/>
  <c r="G227" i="3"/>
  <c r="H212" i="3"/>
  <c r="H213" i="3"/>
  <c r="H214" i="3"/>
  <c r="H215" i="3"/>
  <c r="I212" i="3"/>
  <c r="I213" i="3"/>
  <c r="J212" i="3"/>
  <c r="K228" i="3"/>
  <c r="L228" i="3"/>
  <c r="E229" i="3"/>
  <c r="E230" i="3"/>
  <c r="E231" i="3"/>
  <c r="G229" i="3"/>
  <c r="G230" i="3"/>
  <c r="G231" i="3"/>
  <c r="G232" i="3"/>
  <c r="G233" i="3"/>
  <c r="G234" i="3"/>
  <c r="G235" i="3"/>
  <c r="G236" i="3"/>
  <c r="G237" i="3"/>
  <c r="G238" i="3"/>
  <c r="G239" i="3"/>
  <c r="G240" i="3"/>
  <c r="G241" i="3"/>
  <c r="G242" i="3"/>
  <c r="G243" i="3"/>
  <c r="G244" i="3"/>
  <c r="H229" i="3"/>
  <c r="I229" i="3"/>
  <c r="J229" i="3"/>
  <c r="K245" i="3"/>
  <c r="L245" i="3"/>
  <c r="E246" i="3"/>
  <c r="E247" i="3"/>
  <c r="E248" i="3"/>
  <c r="E249" i="3"/>
  <c r="E250" i="3"/>
  <c r="E251" i="3"/>
  <c r="E252" i="3"/>
  <c r="E253" i="3"/>
  <c r="E254" i="3"/>
  <c r="E255" i="3"/>
  <c r="I246" i="3"/>
  <c r="J246" i="3"/>
  <c r="L246" i="3"/>
  <c r="H230" i="3"/>
  <c r="H231" i="3"/>
  <c r="H232" i="3"/>
  <c r="H233" i="3"/>
  <c r="H234" i="3"/>
  <c r="H235" i="3"/>
  <c r="H236" i="3"/>
  <c r="H237" i="3"/>
  <c r="H238" i="3"/>
  <c r="H239" i="3"/>
  <c r="H240" i="3"/>
  <c r="H241" i="3"/>
  <c r="H242" i="3"/>
  <c r="H243" i="3"/>
  <c r="H244" i="3"/>
  <c r="L98" i="3"/>
  <c r="K126" i="3"/>
  <c r="L171" i="3"/>
  <c r="L4" i="3"/>
  <c r="H35" i="3"/>
  <c r="L34" i="3"/>
  <c r="J175" i="3"/>
  <c r="G107" i="3"/>
  <c r="K107" i="3"/>
  <c r="J21" i="3"/>
  <c r="J23" i="3"/>
  <c r="J25" i="3"/>
  <c r="J27" i="3"/>
  <c r="J29" i="3"/>
  <c r="J31" i="3"/>
  <c r="H7" i="3"/>
  <c r="H8" i="3"/>
  <c r="J177" i="3"/>
  <c r="G102" i="3"/>
  <c r="G103" i="3"/>
  <c r="G104" i="3"/>
  <c r="K101" i="3"/>
  <c r="H160" i="3"/>
  <c r="L160" i="3"/>
  <c r="G109" i="3"/>
  <c r="G111" i="3"/>
  <c r="G113" i="3"/>
  <c r="K105" i="3"/>
  <c r="K34" i="3"/>
  <c r="L5" i="3"/>
  <c r="K98" i="3"/>
  <c r="L79" i="3"/>
  <c r="E60" i="3"/>
  <c r="E95" i="3"/>
  <c r="E93" i="3"/>
  <c r="J65" i="3"/>
  <c r="J66" i="3"/>
  <c r="J67" i="3"/>
  <c r="L64" i="3"/>
  <c r="L6" i="3"/>
  <c r="K171" i="3"/>
  <c r="I5" i="3"/>
  <c r="I6" i="3"/>
  <c r="K62" i="3"/>
  <c r="J247" i="3"/>
  <c r="K79" i="3"/>
  <c r="L62" i="3"/>
  <c r="L41" i="3"/>
  <c r="G89" i="3"/>
  <c r="G90" i="3"/>
  <c r="G91" i="3"/>
  <c r="L66" i="3"/>
  <c r="E76" i="3"/>
  <c r="G146" i="3"/>
  <c r="G147" i="3"/>
  <c r="G148" i="3"/>
  <c r="G149" i="3"/>
  <c r="G150" i="3"/>
  <c r="G151" i="3"/>
  <c r="G152" i="3"/>
  <c r="G153" i="3"/>
  <c r="G154" i="3"/>
  <c r="G155" i="3"/>
  <c r="G156" i="3"/>
  <c r="G157" i="3"/>
  <c r="G158" i="3"/>
  <c r="H197" i="3"/>
  <c r="H198" i="3"/>
  <c r="L196" i="3"/>
  <c r="J144" i="3"/>
  <c r="L143" i="3"/>
  <c r="L111" i="3"/>
  <c r="J113" i="3"/>
  <c r="J115" i="3"/>
  <c r="J117" i="3"/>
  <c r="J100" i="3"/>
  <c r="J101" i="3"/>
  <c r="L99" i="3"/>
  <c r="K41" i="3"/>
  <c r="I43" i="3"/>
  <c r="I12" i="3"/>
  <c r="E14" i="3"/>
  <c r="E16" i="3"/>
  <c r="E18" i="3"/>
  <c r="E20" i="3"/>
  <c r="E22" i="3"/>
  <c r="E24" i="3"/>
  <c r="E26" i="3"/>
  <c r="E28" i="3"/>
  <c r="E30" i="3"/>
  <c r="E31" i="3"/>
  <c r="H175" i="3"/>
  <c r="H177" i="3"/>
  <c r="L173" i="3"/>
  <c r="G66" i="3"/>
  <c r="G67" i="3"/>
  <c r="K5" i="3"/>
  <c r="K99" i="3"/>
  <c r="L80" i="3"/>
  <c r="L16" i="3"/>
  <c r="L175" i="3"/>
  <c r="L195" i="3"/>
  <c r="L12" i="3"/>
  <c r="L14" i="3"/>
  <c r="L107" i="3"/>
  <c r="L63" i="3"/>
  <c r="J213" i="3"/>
  <c r="L212" i="3"/>
  <c r="I145" i="3"/>
  <c r="I146" i="3"/>
  <c r="K144" i="3"/>
  <c r="I81" i="3"/>
  <c r="K80" i="3"/>
  <c r="I64" i="3"/>
  <c r="I65" i="3"/>
  <c r="K63" i="3"/>
  <c r="L43" i="3"/>
  <c r="J45" i="3"/>
  <c r="J37" i="3"/>
  <c r="K35" i="3"/>
  <c r="I36" i="3"/>
  <c r="K173" i="3"/>
  <c r="I175" i="3"/>
  <c r="L8" i="3"/>
  <c r="G68" i="3"/>
  <c r="K102" i="3"/>
  <c r="I103" i="3"/>
  <c r="E124" i="3"/>
  <c r="E161" i="3"/>
  <c r="J179" i="3"/>
  <c r="J181" i="3"/>
  <c r="K100" i="3"/>
  <c r="L7" i="3"/>
  <c r="H9" i="3"/>
  <c r="L20" i="3"/>
  <c r="J22" i="3"/>
  <c r="J24" i="3"/>
  <c r="J26" i="3"/>
  <c r="J28" i="3"/>
  <c r="J30" i="3"/>
  <c r="J198" i="3"/>
  <c r="L197" i="3"/>
  <c r="I111" i="3"/>
  <c r="K109" i="3"/>
  <c r="H101" i="3"/>
  <c r="H102" i="3"/>
  <c r="H103" i="3"/>
  <c r="H104" i="3"/>
  <c r="H106" i="3"/>
  <c r="H108" i="3"/>
  <c r="H110" i="3"/>
  <c r="H112" i="3"/>
  <c r="H114" i="3"/>
  <c r="H116" i="3"/>
  <c r="H118" i="3"/>
  <c r="H120" i="3"/>
  <c r="H122" i="3"/>
  <c r="L100" i="3"/>
  <c r="J82" i="3"/>
  <c r="L81" i="3"/>
  <c r="I160" i="3"/>
  <c r="K160" i="3"/>
  <c r="K159" i="3"/>
  <c r="L18" i="3"/>
  <c r="L109" i="3"/>
  <c r="K212" i="3"/>
  <c r="K143" i="3"/>
  <c r="L105" i="3"/>
  <c r="G115" i="3"/>
  <c r="G28" i="3"/>
  <c r="G30" i="3"/>
  <c r="G186" i="3"/>
  <c r="G189" i="3"/>
  <c r="G192" i="3"/>
  <c r="H119" i="3"/>
  <c r="K145" i="3"/>
  <c r="L247" i="3"/>
  <c r="J248" i="3"/>
  <c r="K6" i="3"/>
  <c r="I7" i="3"/>
  <c r="L113" i="3"/>
  <c r="L65" i="3"/>
  <c r="K64" i="3"/>
  <c r="I177" i="3"/>
  <c r="K175" i="3"/>
  <c r="K36" i="3"/>
  <c r="I37" i="3"/>
  <c r="J47" i="3"/>
  <c r="L45" i="3"/>
  <c r="J214" i="3"/>
  <c r="L213" i="3"/>
  <c r="I45" i="3"/>
  <c r="K43" i="3"/>
  <c r="L115" i="3"/>
  <c r="L24" i="3"/>
  <c r="J38" i="3"/>
  <c r="K81" i="3"/>
  <c r="I82" i="3"/>
  <c r="I14" i="3"/>
  <c r="K12" i="3"/>
  <c r="J145" i="3"/>
  <c r="L144" i="3"/>
  <c r="J68" i="3"/>
  <c r="L67" i="3"/>
  <c r="H10" i="3"/>
  <c r="L9" i="3"/>
  <c r="G92" i="3"/>
  <c r="L82" i="3"/>
  <c r="J83" i="3"/>
  <c r="I113" i="3"/>
  <c r="K111" i="3"/>
  <c r="J199" i="3"/>
  <c r="K103" i="3"/>
  <c r="I104" i="3"/>
  <c r="G69" i="3"/>
  <c r="G117" i="3"/>
  <c r="H121" i="3"/>
  <c r="H123" i="3"/>
  <c r="I8" i="3"/>
  <c r="K7" i="3"/>
  <c r="L248" i="3"/>
  <c r="J249" i="3"/>
  <c r="I83" i="3"/>
  <c r="K82" i="3"/>
  <c r="I38" i="3"/>
  <c r="K37" i="3"/>
  <c r="L68" i="3"/>
  <c r="J69" i="3"/>
  <c r="L145" i="3"/>
  <c r="J146" i="3"/>
  <c r="I16" i="3"/>
  <c r="K14" i="3"/>
  <c r="J39" i="3"/>
  <c r="I47" i="3"/>
  <c r="K45" i="3"/>
  <c r="J215" i="3"/>
  <c r="L214" i="3"/>
  <c r="L47" i="3"/>
  <c r="J49" i="3"/>
  <c r="I179" i="3"/>
  <c r="K177" i="3"/>
  <c r="I106" i="3"/>
  <c r="I115" i="3"/>
  <c r="K113" i="3"/>
  <c r="H11" i="3"/>
  <c r="L10" i="3"/>
  <c r="G70" i="3"/>
  <c r="J200" i="3"/>
  <c r="J84" i="3"/>
  <c r="L83" i="3"/>
  <c r="G93" i="3"/>
  <c r="G94" i="3"/>
  <c r="G119" i="3"/>
  <c r="J250" i="3"/>
  <c r="L249" i="3"/>
  <c r="I9" i="3"/>
  <c r="K8" i="3"/>
  <c r="K179" i="3"/>
  <c r="I181" i="3"/>
  <c r="J216" i="3"/>
  <c r="K47" i="3"/>
  <c r="I49" i="3"/>
  <c r="J40" i="3"/>
  <c r="K16" i="3"/>
  <c r="I18" i="3"/>
  <c r="I39" i="3"/>
  <c r="K38" i="3"/>
  <c r="I84" i="3"/>
  <c r="K83" i="3"/>
  <c r="J51" i="3"/>
  <c r="L49" i="3"/>
  <c r="J147" i="3"/>
  <c r="L69" i="3"/>
  <c r="J70" i="3"/>
  <c r="J201" i="3"/>
  <c r="L11" i="3"/>
  <c r="H13" i="3"/>
  <c r="I117" i="3"/>
  <c r="K115" i="3"/>
  <c r="I108" i="3"/>
  <c r="J85" i="3"/>
  <c r="L84" i="3"/>
  <c r="G71" i="3"/>
  <c r="G121" i="3"/>
  <c r="G123" i="3"/>
  <c r="I10" i="3"/>
  <c r="K9" i="3"/>
  <c r="L250" i="3"/>
  <c r="J251" i="3"/>
  <c r="J148" i="3"/>
  <c r="L51" i="3"/>
  <c r="J53" i="3"/>
  <c r="I20" i="3"/>
  <c r="K18" i="3"/>
  <c r="J42" i="3"/>
  <c r="I51" i="3"/>
  <c r="K49" i="3"/>
  <c r="I183" i="3"/>
  <c r="K181" i="3"/>
  <c r="L70" i="3"/>
  <c r="J71" i="3"/>
  <c r="I85" i="3"/>
  <c r="K84" i="3"/>
  <c r="I40" i="3"/>
  <c r="K39" i="3"/>
  <c r="J217" i="3"/>
  <c r="I110" i="3"/>
  <c r="L13" i="3"/>
  <c r="H15" i="3"/>
  <c r="J202" i="3"/>
  <c r="G72" i="3"/>
  <c r="J86" i="3"/>
  <c r="L86" i="3"/>
  <c r="L85" i="3"/>
  <c r="I119" i="3"/>
  <c r="I121" i="3"/>
  <c r="K117" i="3"/>
  <c r="L251" i="3"/>
  <c r="J252" i="3"/>
  <c r="K10" i="3"/>
  <c r="I11" i="3"/>
  <c r="J72" i="3"/>
  <c r="L71" i="3"/>
  <c r="J218" i="3"/>
  <c r="K40" i="3"/>
  <c r="I42" i="3"/>
  <c r="I86" i="3"/>
  <c r="K85" i="3"/>
  <c r="I186" i="3"/>
  <c r="I189" i="3"/>
  <c r="K183" i="3"/>
  <c r="K51" i="3"/>
  <c r="I53" i="3"/>
  <c r="I55" i="3"/>
  <c r="K20" i="3"/>
  <c r="I22" i="3"/>
  <c r="K22" i="3"/>
  <c r="J149" i="3"/>
  <c r="J44" i="3"/>
  <c r="L53" i="3"/>
  <c r="J55" i="3"/>
  <c r="L55" i="3"/>
  <c r="K119" i="3"/>
  <c r="J87" i="3"/>
  <c r="G73" i="3"/>
  <c r="J203" i="3"/>
  <c r="H17" i="3"/>
  <c r="L17" i="3"/>
  <c r="L15" i="3"/>
  <c r="I112" i="3"/>
  <c r="K11" i="3"/>
  <c r="I13" i="3"/>
  <c r="L252" i="3"/>
  <c r="J253" i="3"/>
  <c r="J254" i="3"/>
  <c r="L253" i="3"/>
  <c r="J57" i="3"/>
  <c r="J59" i="3"/>
  <c r="J46" i="3"/>
  <c r="J48" i="3"/>
  <c r="J150" i="3"/>
  <c r="I24" i="3"/>
  <c r="K24" i="3"/>
  <c r="K53" i="3"/>
  <c r="K42" i="3"/>
  <c r="I44" i="3"/>
  <c r="K44" i="3"/>
  <c r="I87" i="3"/>
  <c r="K86" i="3"/>
  <c r="J219" i="3"/>
  <c r="L72" i="3"/>
  <c r="J73" i="3"/>
  <c r="L73" i="3"/>
  <c r="I114" i="3"/>
  <c r="G74" i="3"/>
  <c r="H19" i="3"/>
  <c r="L19" i="3"/>
  <c r="J204" i="3"/>
  <c r="L87" i="3"/>
  <c r="J88" i="3"/>
  <c r="I15" i="3"/>
  <c r="K15" i="3"/>
  <c r="K13" i="3"/>
  <c r="J74" i="3"/>
  <c r="J220" i="3"/>
  <c r="I46" i="3"/>
  <c r="I48" i="3"/>
  <c r="I26" i="3"/>
  <c r="K26" i="3"/>
  <c r="J151" i="3"/>
  <c r="J152" i="3"/>
  <c r="L59" i="3"/>
  <c r="I88" i="3"/>
  <c r="I89" i="3"/>
  <c r="K87" i="3"/>
  <c r="J205" i="3"/>
  <c r="J206" i="3"/>
  <c r="H21" i="3"/>
  <c r="H23" i="3"/>
  <c r="I116" i="3"/>
  <c r="J89" i="3"/>
  <c r="L89" i="3"/>
  <c r="L88" i="3"/>
  <c r="G75" i="3"/>
  <c r="G76" i="3"/>
  <c r="G77" i="3"/>
  <c r="I17" i="3"/>
  <c r="K17" i="3"/>
  <c r="K88" i="3"/>
  <c r="K46" i="3"/>
  <c r="J221" i="3"/>
  <c r="J222" i="3"/>
  <c r="J75" i="3"/>
  <c r="J76" i="3"/>
  <c r="J77" i="3"/>
  <c r="L77" i="3"/>
  <c r="L74" i="3"/>
  <c r="J90" i="3"/>
  <c r="J91" i="3"/>
  <c r="I118" i="3"/>
  <c r="I120" i="3"/>
  <c r="L21" i="3"/>
  <c r="I19" i="3"/>
  <c r="K19" i="3"/>
  <c r="L23" i="3"/>
  <c r="H25" i="3"/>
  <c r="H27" i="3"/>
  <c r="L90" i="3"/>
  <c r="I21" i="3"/>
  <c r="I23" i="3"/>
  <c r="L76" i="3"/>
  <c r="K21" i="3"/>
  <c r="H124" i="3"/>
  <c r="G31" i="3"/>
  <c r="H30" i="3"/>
  <c r="L30" i="3"/>
  <c r="L28" i="3"/>
  <c r="L26" i="3"/>
  <c r="L91" i="3"/>
  <c r="J92" i="3"/>
  <c r="J207" i="3"/>
  <c r="K89" i="3"/>
  <c r="I90" i="3"/>
  <c r="J153" i="3"/>
  <c r="K48" i="3"/>
  <c r="I50" i="3"/>
  <c r="K23" i="3"/>
  <c r="I25" i="3"/>
  <c r="H29" i="3"/>
  <c r="L27" i="3"/>
  <c r="I122" i="3"/>
  <c r="J223" i="3"/>
  <c r="J50" i="3"/>
  <c r="I57" i="3"/>
  <c r="K55" i="3"/>
  <c r="I123" i="3"/>
  <c r="K123" i="3"/>
  <c r="K121" i="3"/>
  <c r="L25" i="3"/>
  <c r="L75" i="3"/>
  <c r="I28" i="3"/>
  <c r="L57" i="3"/>
  <c r="J255" i="3"/>
  <c r="L255" i="3"/>
  <c r="L254" i="3"/>
  <c r="K186" i="3"/>
  <c r="J102" i="3"/>
  <c r="L101" i="3"/>
  <c r="E193" i="3"/>
  <c r="I192" i="3"/>
  <c r="K192" i="3"/>
  <c r="K189" i="3"/>
  <c r="J183" i="3"/>
  <c r="I66" i="3"/>
  <c r="K65" i="3"/>
  <c r="I147" i="3"/>
  <c r="K146" i="3"/>
  <c r="L177" i="3"/>
  <c r="H179" i="3"/>
  <c r="J119" i="3"/>
  <c r="L117" i="3"/>
  <c r="H199" i="3"/>
  <c r="L198" i="3"/>
  <c r="G106" i="3"/>
  <c r="K104" i="3"/>
  <c r="E232" i="3"/>
  <c r="E233" i="3"/>
  <c r="E234" i="3"/>
  <c r="E235" i="3"/>
  <c r="E236" i="3"/>
  <c r="E237" i="3"/>
  <c r="E238" i="3"/>
  <c r="E239" i="3"/>
  <c r="E240" i="3"/>
  <c r="E241" i="3"/>
  <c r="E242" i="3"/>
  <c r="E243" i="3"/>
  <c r="E244" i="3"/>
  <c r="H216" i="3"/>
  <c r="L215" i="3"/>
  <c r="G256" i="3"/>
  <c r="H147" i="3"/>
  <c r="L146" i="3"/>
  <c r="H36" i="3"/>
  <c r="L35" i="3"/>
  <c r="L229" i="3"/>
  <c r="J230" i="3"/>
  <c r="I196" i="3"/>
  <c r="K195" i="3"/>
  <c r="J165" i="3"/>
  <c r="L164" i="3"/>
  <c r="I128" i="3"/>
  <c r="K127" i="3"/>
  <c r="I247" i="3"/>
  <c r="K246" i="3"/>
  <c r="K229" i="3"/>
  <c r="I230" i="3"/>
  <c r="I214" i="3"/>
  <c r="K213" i="3"/>
  <c r="I165" i="3"/>
  <c r="K164" i="3"/>
  <c r="L126" i="3"/>
  <c r="J127" i="3"/>
  <c r="G95" i="3"/>
  <c r="J128" i="3"/>
  <c r="L127" i="3"/>
  <c r="L230" i="3"/>
  <c r="J231" i="3"/>
  <c r="H181" i="3"/>
  <c r="L179" i="3"/>
  <c r="I30" i="3"/>
  <c r="K30" i="3"/>
  <c r="K28" i="3"/>
  <c r="I59" i="3"/>
  <c r="K59" i="3"/>
  <c r="K57" i="3"/>
  <c r="J224" i="3"/>
  <c r="I124" i="3"/>
  <c r="L29" i="3"/>
  <c r="L31" i="3"/>
  <c r="H31" i="3"/>
  <c r="J93" i="3"/>
  <c r="L92" i="3"/>
  <c r="I231" i="3"/>
  <c r="K230" i="3"/>
  <c r="I166" i="3"/>
  <c r="K165" i="3"/>
  <c r="I215" i="3"/>
  <c r="K214" i="3"/>
  <c r="I248" i="3"/>
  <c r="K247" i="3"/>
  <c r="K128" i="3"/>
  <c r="I129" i="3"/>
  <c r="J166" i="3"/>
  <c r="L165" i="3"/>
  <c r="K196" i="3"/>
  <c r="I197" i="3"/>
  <c r="H37" i="3"/>
  <c r="L36" i="3"/>
  <c r="L147" i="3"/>
  <c r="H148" i="3"/>
  <c r="L216" i="3"/>
  <c r="H217" i="3"/>
  <c r="G108" i="3"/>
  <c r="K106" i="3"/>
  <c r="H200" i="3"/>
  <c r="L199" i="3"/>
  <c r="J121" i="3"/>
  <c r="L119" i="3"/>
  <c r="I148" i="3"/>
  <c r="K147" i="3"/>
  <c r="I67" i="3"/>
  <c r="K66" i="3"/>
  <c r="J186" i="3"/>
  <c r="E256" i="3"/>
  <c r="J103" i="3"/>
  <c r="L102" i="3"/>
  <c r="J52" i="3"/>
  <c r="I27" i="3"/>
  <c r="K25" i="3"/>
  <c r="I52" i="3"/>
  <c r="K50" i="3"/>
  <c r="J154" i="3"/>
  <c r="K90" i="3"/>
  <c r="I91" i="3"/>
  <c r="J208" i="3"/>
  <c r="K91" i="3"/>
  <c r="I92" i="3"/>
  <c r="J209" i="3"/>
  <c r="J155" i="3"/>
  <c r="I54" i="3"/>
  <c r="K52" i="3"/>
  <c r="I29" i="3"/>
  <c r="K27" i="3"/>
  <c r="J54" i="3"/>
  <c r="J104" i="3"/>
  <c r="L103" i="3"/>
  <c r="H218" i="3"/>
  <c r="L217" i="3"/>
  <c r="H149" i="3"/>
  <c r="L148" i="3"/>
  <c r="I198" i="3"/>
  <c r="K197" i="3"/>
  <c r="K129" i="3"/>
  <c r="I130" i="3"/>
  <c r="J225" i="3"/>
  <c r="J232" i="3"/>
  <c r="L231" i="3"/>
  <c r="J189" i="3"/>
  <c r="K67" i="3"/>
  <c r="I68" i="3"/>
  <c r="I149" i="3"/>
  <c r="K148" i="3"/>
  <c r="J123" i="3"/>
  <c r="L123" i="3"/>
  <c r="L121" i="3"/>
  <c r="H201" i="3"/>
  <c r="L200" i="3"/>
  <c r="G110" i="3"/>
  <c r="K108" i="3"/>
  <c r="H38" i="3"/>
  <c r="L37" i="3"/>
  <c r="J167" i="3"/>
  <c r="L166" i="3"/>
  <c r="I249" i="3"/>
  <c r="K248" i="3"/>
  <c r="I216" i="3"/>
  <c r="K215" i="3"/>
  <c r="I167" i="3"/>
  <c r="K166" i="3"/>
  <c r="I232" i="3"/>
  <c r="K231" i="3"/>
  <c r="J94" i="3"/>
  <c r="L94" i="3"/>
  <c r="L93" i="3"/>
  <c r="H183" i="3"/>
  <c r="L181" i="3"/>
  <c r="J129" i="3"/>
  <c r="L128" i="3"/>
  <c r="J130" i="3"/>
  <c r="L129" i="3"/>
  <c r="K68" i="3"/>
  <c r="I69" i="3"/>
  <c r="K130" i="3"/>
  <c r="I131" i="3"/>
  <c r="J56" i="3"/>
  <c r="K92" i="3"/>
  <c r="I93" i="3"/>
  <c r="H186" i="3"/>
  <c r="L183" i="3"/>
  <c r="I233" i="3"/>
  <c r="K232" i="3"/>
  <c r="K167" i="3"/>
  <c r="I168" i="3"/>
  <c r="I217" i="3"/>
  <c r="K216" i="3"/>
  <c r="I250" i="3"/>
  <c r="K249" i="3"/>
  <c r="J168" i="3"/>
  <c r="L167" i="3"/>
  <c r="L38" i="3"/>
  <c r="H39" i="3"/>
  <c r="G112" i="3"/>
  <c r="K110" i="3"/>
  <c r="H202" i="3"/>
  <c r="L201" i="3"/>
  <c r="K149" i="3"/>
  <c r="I150" i="3"/>
  <c r="J192" i="3"/>
  <c r="L232" i="3"/>
  <c r="J233" i="3"/>
  <c r="J226" i="3"/>
  <c r="K198" i="3"/>
  <c r="I199" i="3"/>
  <c r="H150" i="3"/>
  <c r="L149" i="3"/>
  <c r="H219" i="3"/>
  <c r="L218" i="3"/>
  <c r="L104" i="3"/>
  <c r="J106" i="3"/>
  <c r="I31" i="3"/>
  <c r="K29" i="3"/>
  <c r="K31" i="3"/>
  <c r="K54" i="3"/>
  <c r="I56" i="3"/>
  <c r="J156" i="3"/>
  <c r="J210" i="3"/>
  <c r="J157" i="3"/>
  <c r="H220" i="3"/>
  <c r="L219" i="3"/>
  <c r="I58" i="3"/>
  <c r="K56" i="3"/>
  <c r="L106" i="3"/>
  <c r="J108" i="3"/>
  <c r="I200" i="3"/>
  <c r="K199" i="3"/>
  <c r="L233" i="3"/>
  <c r="J234" i="3"/>
  <c r="I151" i="3"/>
  <c r="K150" i="3"/>
  <c r="H40" i="3"/>
  <c r="L39" i="3"/>
  <c r="K168" i="3"/>
  <c r="I169" i="3"/>
  <c r="I94" i="3"/>
  <c r="K94" i="3"/>
  <c r="K93" i="3"/>
  <c r="I132" i="3"/>
  <c r="K131" i="3"/>
  <c r="K69" i="3"/>
  <c r="I70" i="3"/>
  <c r="H151" i="3"/>
  <c r="L150" i="3"/>
  <c r="J227" i="3"/>
  <c r="H203" i="3"/>
  <c r="L202" i="3"/>
  <c r="G114" i="3"/>
  <c r="K112" i="3"/>
  <c r="J169" i="3"/>
  <c r="L168" i="3"/>
  <c r="I251" i="3"/>
  <c r="K250" i="3"/>
  <c r="I218" i="3"/>
  <c r="K217" i="3"/>
  <c r="K233" i="3"/>
  <c r="I234" i="3"/>
  <c r="H189" i="3"/>
  <c r="L186" i="3"/>
  <c r="J58" i="3"/>
  <c r="J131" i="3"/>
  <c r="L130" i="3"/>
  <c r="J60" i="3"/>
  <c r="J95" i="3"/>
  <c r="H192" i="3"/>
  <c r="L189" i="3"/>
  <c r="I252" i="3"/>
  <c r="K251" i="3"/>
  <c r="G116" i="3"/>
  <c r="K114" i="3"/>
  <c r="H204" i="3"/>
  <c r="L203" i="3"/>
  <c r="I133" i="3"/>
  <c r="K132" i="3"/>
  <c r="K151" i="3"/>
  <c r="I152" i="3"/>
  <c r="K234" i="3"/>
  <c r="I235" i="3"/>
  <c r="H152" i="3"/>
  <c r="L151" i="3"/>
  <c r="I71" i="3"/>
  <c r="K70" i="3"/>
  <c r="K169" i="3"/>
  <c r="I170" i="3"/>
  <c r="L234" i="3"/>
  <c r="J235" i="3"/>
  <c r="J110" i="3"/>
  <c r="L108" i="3"/>
  <c r="J158" i="3"/>
  <c r="J132" i="3"/>
  <c r="L131" i="3"/>
  <c r="I219" i="3"/>
  <c r="K218" i="3"/>
  <c r="J170" i="3"/>
  <c r="L169" i="3"/>
  <c r="H42" i="3"/>
  <c r="L40" i="3"/>
  <c r="K200" i="3"/>
  <c r="I201" i="3"/>
  <c r="I60" i="3"/>
  <c r="K58" i="3"/>
  <c r="K60" i="3"/>
  <c r="H221" i="3"/>
  <c r="L220" i="3"/>
  <c r="H222" i="3"/>
  <c r="L221" i="3"/>
  <c r="H44" i="3"/>
  <c r="L42" i="3"/>
  <c r="L170" i="3"/>
  <c r="J172" i="3"/>
  <c r="I220" i="3"/>
  <c r="K219" i="3"/>
  <c r="L132" i="3"/>
  <c r="J133" i="3"/>
  <c r="L110" i="3"/>
  <c r="J112" i="3"/>
  <c r="K71" i="3"/>
  <c r="I72" i="3"/>
  <c r="H153" i="3"/>
  <c r="L152" i="3"/>
  <c r="I236" i="3"/>
  <c r="K235" i="3"/>
  <c r="I153" i="3"/>
  <c r="K152" i="3"/>
  <c r="I202" i="3"/>
  <c r="K201" i="3"/>
  <c r="L235" i="3"/>
  <c r="J236" i="3"/>
  <c r="K170" i="3"/>
  <c r="I172" i="3"/>
  <c r="I134" i="3"/>
  <c r="K133" i="3"/>
  <c r="H205" i="3"/>
  <c r="L204" i="3"/>
  <c r="G118" i="3"/>
  <c r="K116" i="3"/>
  <c r="I253" i="3"/>
  <c r="K252" i="3"/>
  <c r="H193" i="3"/>
  <c r="L192" i="3"/>
  <c r="I254" i="3"/>
  <c r="K253" i="3"/>
  <c r="G120" i="3"/>
  <c r="K118" i="3"/>
  <c r="H206" i="3"/>
  <c r="L205" i="3"/>
  <c r="K134" i="3"/>
  <c r="I135" i="3"/>
  <c r="K202" i="3"/>
  <c r="I203" i="3"/>
  <c r="I73" i="3"/>
  <c r="K72" i="3"/>
  <c r="J114" i="3"/>
  <c r="L112" i="3"/>
  <c r="I221" i="3"/>
  <c r="K220" i="3"/>
  <c r="H46" i="3"/>
  <c r="L44" i="3"/>
  <c r="K172" i="3"/>
  <c r="I174" i="3"/>
  <c r="J237" i="3"/>
  <c r="L236" i="3"/>
  <c r="I154" i="3"/>
  <c r="K153" i="3"/>
  <c r="I237" i="3"/>
  <c r="K236" i="3"/>
  <c r="H154" i="3"/>
  <c r="L153" i="3"/>
  <c r="J134" i="3"/>
  <c r="L133" i="3"/>
  <c r="L172" i="3"/>
  <c r="J174" i="3"/>
  <c r="H223" i="3"/>
  <c r="L222" i="3"/>
  <c r="H224" i="3"/>
  <c r="L223" i="3"/>
  <c r="H155" i="3"/>
  <c r="L154" i="3"/>
  <c r="I238" i="3"/>
  <c r="K237" i="3"/>
  <c r="I155" i="3"/>
  <c r="K154" i="3"/>
  <c r="L237" i="3"/>
  <c r="J238" i="3"/>
  <c r="H48" i="3"/>
  <c r="L46" i="3"/>
  <c r="I222" i="3"/>
  <c r="K221" i="3"/>
  <c r="J116" i="3"/>
  <c r="L114" i="3"/>
  <c r="K73" i="3"/>
  <c r="I74" i="3"/>
  <c r="H207" i="3"/>
  <c r="L206" i="3"/>
  <c r="G122" i="3"/>
  <c r="K120" i="3"/>
  <c r="K254" i="3"/>
  <c r="I255" i="3"/>
  <c r="K255" i="3"/>
  <c r="J135" i="3"/>
  <c r="L134" i="3"/>
  <c r="L174" i="3"/>
  <c r="J176" i="3"/>
  <c r="I176" i="3"/>
  <c r="K174" i="3"/>
  <c r="I204" i="3"/>
  <c r="K203" i="3"/>
  <c r="K135" i="3"/>
  <c r="I136" i="3"/>
  <c r="L176" i="3"/>
  <c r="J178" i="3"/>
  <c r="K74" i="3"/>
  <c r="I75" i="3"/>
  <c r="J239" i="3"/>
  <c r="L238" i="3"/>
  <c r="I137" i="3"/>
  <c r="K136" i="3"/>
  <c r="K204" i="3"/>
  <c r="I205" i="3"/>
  <c r="K176" i="3"/>
  <c r="I178" i="3"/>
  <c r="J136" i="3"/>
  <c r="L135" i="3"/>
  <c r="G124" i="3"/>
  <c r="G161" i="3"/>
  <c r="K122" i="3"/>
  <c r="K124" i="3"/>
  <c r="H208" i="3"/>
  <c r="L207" i="3"/>
  <c r="J118" i="3"/>
  <c r="L116" i="3"/>
  <c r="K222" i="3"/>
  <c r="I223" i="3"/>
  <c r="H50" i="3"/>
  <c r="L48" i="3"/>
  <c r="K155" i="3"/>
  <c r="I156" i="3"/>
  <c r="K238" i="3"/>
  <c r="I239" i="3"/>
  <c r="H156" i="3"/>
  <c r="L155" i="3"/>
  <c r="H225" i="3"/>
  <c r="L224" i="3"/>
  <c r="H157" i="3"/>
  <c r="L156" i="3"/>
  <c r="K239" i="3"/>
  <c r="I240" i="3"/>
  <c r="K156" i="3"/>
  <c r="I157" i="3"/>
  <c r="K223" i="3"/>
  <c r="I224" i="3"/>
  <c r="K178" i="3"/>
  <c r="I180" i="3"/>
  <c r="I206" i="3"/>
  <c r="K205" i="3"/>
  <c r="K75" i="3"/>
  <c r="I76" i="3"/>
  <c r="J180" i="3"/>
  <c r="L178" i="3"/>
  <c r="H226" i="3"/>
  <c r="L225" i="3"/>
  <c r="H52" i="3"/>
  <c r="L50" i="3"/>
  <c r="L118" i="3"/>
  <c r="J120" i="3"/>
  <c r="H209" i="3"/>
  <c r="L208" i="3"/>
  <c r="J137" i="3"/>
  <c r="L136" i="3"/>
  <c r="K137" i="3"/>
  <c r="I138" i="3"/>
  <c r="J240" i="3"/>
  <c r="L239" i="3"/>
  <c r="K138" i="3"/>
  <c r="I139" i="3"/>
  <c r="L240" i="3"/>
  <c r="J241" i="3"/>
  <c r="L137" i="3"/>
  <c r="J138" i="3"/>
  <c r="H210" i="3"/>
  <c r="L209" i="3"/>
  <c r="H54" i="3"/>
  <c r="L52" i="3"/>
  <c r="H227" i="3"/>
  <c r="L227" i="3"/>
  <c r="L226" i="3"/>
  <c r="J182" i="3"/>
  <c r="L180" i="3"/>
  <c r="I207" i="3"/>
  <c r="K206" i="3"/>
  <c r="I225" i="3"/>
  <c r="K224" i="3"/>
  <c r="I158" i="3"/>
  <c r="K158" i="3"/>
  <c r="K157" i="3"/>
  <c r="I241" i="3"/>
  <c r="K240" i="3"/>
  <c r="J122" i="3"/>
  <c r="L120" i="3"/>
  <c r="I77" i="3"/>
  <c r="K76" i="3"/>
  <c r="I182" i="3"/>
  <c r="K180" i="3"/>
  <c r="H158" i="3"/>
  <c r="L157" i="3"/>
  <c r="H161" i="3"/>
  <c r="L158" i="3"/>
  <c r="I184" i="3"/>
  <c r="K182" i="3"/>
  <c r="J124" i="3"/>
  <c r="L122" i="3"/>
  <c r="L124" i="3"/>
  <c r="I242" i="3"/>
  <c r="K241" i="3"/>
  <c r="I226" i="3"/>
  <c r="K225" i="3"/>
  <c r="L138" i="3"/>
  <c r="J139" i="3"/>
  <c r="J242" i="3"/>
  <c r="L241" i="3"/>
  <c r="I140" i="3"/>
  <c r="K139" i="3"/>
  <c r="K77" i="3"/>
  <c r="K95" i="3"/>
  <c r="I95" i="3"/>
  <c r="I208" i="3"/>
  <c r="K207" i="3"/>
  <c r="J184" i="3"/>
  <c r="L182" i="3"/>
  <c r="H56" i="3"/>
  <c r="L54" i="3"/>
  <c r="L210" i="3"/>
  <c r="H256" i="3"/>
  <c r="J187" i="3"/>
  <c r="L184" i="3"/>
  <c r="J140" i="3"/>
  <c r="L139" i="3"/>
  <c r="H58" i="3"/>
  <c r="L56" i="3"/>
  <c r="I209" i="3"/>
  <c r="K208" i="3"/>
  <c r="I141" i="3"/>
  <c r="K140" i="3"/>
  <c r="J243" i="3"/>
  <c r="L242" i="3"/>
  <c r="I227" i="3"/>
  <c r="K227" i="3"/>
  <c r="K226" i="3"/>
  <c r="I243" i="3"/>
  <c r="K242" i="3"/>
  <c r="I187" i="3"/>
  <c r="K184" i="3"/>
  <c r="I244" i="3"/>
  <c r="K244" i="3"/>
  <c r="K243" i="3"/>
  <c r="J244" i="3"/>
  <c r="L244" i="3"/>
  <c r="L256" i="3"/>
  <c r="L243" i="3"/>
  <c r="K141" i="3"/>
  <c r="K161" i="3"/>
  <c r="I161" i="3"/>
  <c r="H60" i="3"/>
  <c r="H95" i="3"/>
  <c r="L58" i="3"/>
  <c r="L60" i="3"/>
  <c r="L95" i="3"/>
  <c r="I190" i="3"/>
  <c r="K187" i="3"/>
  <c r="J141" i="3"/>
  <c r="L140" i="3"/>
  <c r="J190" i="3"/>
  <c r="L187" i="3"/>
  <c r="I210" i="3"/>
  <c r="K210" i="3"/>
  <c r="K209" i="3"/>
  <c r="J193" i="3"/>
  <c r="J256" i="3"/>
  <c r="L190" i="3"/>
  <c r="I193" i="3"/>
  <c r="I256" i="3"/>
  <c r="K190" i="3"/>
  <c r="K193" i="3"/>
  <c r="K256" i="3"/>
  <c r="L141" i="3"/>
  <c r="L161" i="3"/>
  <c r="J161" i="3"/>
</calcChain>
</file>

<file path=xl/sharedStrings.xml><?xml version="1.0" encoding="utf-8"?>
<sst xmlns="http://schemas.openxmlformats.org/spreadsheetml/2006/main" count="576" uniqueCount="127">
  <si>
    <t>Община</t>
  </si>
  <si>
    <t>период от време (месеци)</t>
  </si>
  <si>
    <t>Рудозем</t>
  </si>
  <si>
    <t>Количество депонирани неопасни отпадъци</t>
  </si>
  <si>
    <t>2011 г.</t>
  </si>
  <si>
    <t>2012 г.</t>
  </si>
  <si>
    <t>2013 г.</t>
  </si>
  <si>
    <t>2014 г.</t>
  </si>
  <si>
    <t>2015 г.</t>
  </si>
  <si>
    <t>Мадан</t>
  </si>
  <si>
    <t>Златоград</t>
  </si>
  <si>
    <t>Неделино</t>
  </si>
  <si>
    <t>количество (тонове)</t>
  </si>
  <si>
    <t>Вид на депото/ клетката на депото</t>
  </si>
  <si>
    <t>Дължима лихва за отчисленията по чл. 20 от Наредба №7</t>
  </si>
  <si>
    <t>Следва да постъпят в сметката на РИОСВ отчисления по чл.64 от ЗУО (лв.)</t>
  </si>
  <si>
    <t>Изразходени средства (лв.)</t>
  </si>
  <si>
    <t>Дължими отчисления по чл.20, ал.3 от Наредба №7 (лв.)</t>
  </si>
  <si>
    <t>Забележки</t>
  </si>
  <si>
    <t>Остава да постъпят по чл. 64 от ЗУО (лв.)</t>
  </si>
  <si>
    <t>Депонирани количества неопасни отпадъци, за които  отчисленията по чл. 20 от Наредба №7 се увеличават с 15 на сто</t>
  </si>
  <si>
    <t>2016 г.</t>
  </si>
  <si>
    <t>Регионално депо за неопасни отпадъци на община Рудозем/ Клетка №1</t>
  </si>
  <si>
    <t>Смолян</t>
  </si>
  <si>
    <t>Баните</t>
  </si>
  <si>
    <t>Чепеларе</t>
  </si>
  <si>
    <t>Девин</t>
  </si>
  <si>
    <t>Доспат</t>
  </si>
  <si>
    <t>Борино</t>
  </si>
  <si>
    <t>Сатовча</t>
  </si>
  <si>
    <t>м.09-м.12.2016 г.</t>
  </si>
  <si>
    <t>Регионално депо за неопасни отпадъци на общините Мадан, Златоград и Неделино/ Клетка №1</t>
  </si>
  <si>
    <t>Регионално депо за неопасни отпадъци на общините Смолян, Баните и Чепеларе/ Клетка №3</t>
  </si>
  <si>
    <t>1. От 01.09.2016г. до 31.12.2016 г. Община Девин временно депонира битовите си отпадъци на Регионално депо за неопасни отпадъци на общините Смолян, Чепеларе и Баните.</t>
  </si>
  <si>
    <t>Сърница</t>
  </si>
  <si>
    <t>други</t>
  </si>
  <si>
    <t xml:space="preserve">ИФОРМАЦИЯ ПО ПРИЛОЖЕНИЕ №3/НАРЕДБА №7 от 19.12.2013г. ЗА СЪБРАНИТЕ,  ДЪЛЖИМИТЕ И ИЗРАЗХОДВАНИ ОБЕЗПЕЧЕНИЯ И ОТЧИСЛЕНИЯ, СЪГЛАСНО ЧЛ.60 И ЧЛ.64 ПО ЗАКОНА ЗА УПРАВЛЕНИЕ НА ОТПАДЪЦИТЕ   </t>
  </si>
  <si>
    <t>2017г.</t>
  </si>
  <si>
    <t>2018г.</t>
  </si>
  <si>
    <t>2018 г.</t>
  </si>
  <si>
    <r>
      <t>77 212,28 лв.  /</t>
    </r>
    <r>
      <rPr>
        <sz val="11"/>
        <rFont val="Times New Roman"/>
        <family val="1"/>
        <charset val="204"/>
      </rPr>
      <t>На 28.01.2016г. са отпуснати на Община Рудозем 7 950 лв. и на 21.09.2016г.  - 7 950 лв. за изготвяне на морфологичен анализ на състава  и количествата на битовите отпадъци  и за изготвяне на програма за управление на отпадъците на територията на община Рудозем за периода 2015-2020 г.; На 12.04.2016г. са освободени  17 489,76 лв., на 05.05.2016г.  4 980 лв., на 27.05.2016г.  4 980 лв., на 02.06.2016 г.  14 512.18 лв. и на 17.08.2016г.   6 918.24 лв. по проект "Въвеждане на система за разделно събиране на отпадъци на територията на община Рудозем“; На 21.10.2016г.  са разрешени 12 432,10 лв. на община Рудозем за окончателно плащане  по договор за "Изграждане на 400 бр. площадки за разполагане на съдове за разделно събиране на отпадъците в община Рудозем/</t>
    </r>
  </si>
  <si>
    <r>
      <t>35 880 лв. /</t>
    </r>
    <r>
      <rPr>
        <sz val="11"/>
        <rFont val="Times New Roman"/>
        <family val="1"/>
        <charset val="204"/>
      </rPr>
      <t xml:space="preserve">С Решение №67/27.02.2019г.  - отпуснати </t>
    </r>
    <r>
      <rPr>
        <b/>
        <sz val="11"/>
        <rFont val="Times New Roman"/>
        <family val="1"/>
        <charset val="204"/>
      </rPr>
      <t>35 880</t>
    </r>
    <r>
      <rPr>
        <sz val="11"/>
        <rFont val="Times New Roman"/>
        <family val="1"/>
        <charset val="204"/>
      </rPr>
      <t xml:space="preserve"> лв.за закупуване на нови плостмасови контейнери за разделно събиране на отпадъци</t>
    </r>
    <r>
      <rPr>
        <b/>
        <sz val="11"/>
        <rFont val="Times New Roman"/>
        <family val="1"/>
        <charset val="204"/>
      </rPr>
      <t>./</t>
    </r>
  </si>
  <si>
    <r>
      <t>7 950 лв.</t>
    </r>
    <r>
      <rPr>
        <sz val="11"/>
        <rFont val="Times New Roman"/>
        <family val="1"/>
        <charset val="204"/>
      </rPr>
      <t xml:space="preserve"> /На 26.08.2015 г. са разрешени 7 950 лв. извършване на морфологичен анализ на състава и количеството на битовите отпадъци, образувани на територията на Община Мадан и  за изготвяне на програма  за управление на отпадъците на Община Мадан/</t>
    </r>
  </si>
  <si>
    <r>
      <t>7 950 лв.</t>
    </r>
    <r>
      <rPr>
        <sz val="11"/>
        <rFont val="Times New Roman"/>
        <family val="1"/>
        <charset val="204"/>
      </rPr>
      <t xml:space="preserve"> /На 05.02.2016г. са разрешени 3 450 </t>
    </r>
    <r>
      <rPr>
        <b/>
        <sz val="11"/>
        <rFont val="Times New Roman"/>
        <family val="1"/>
        <charset val="204"/>
      </rPr>
      <t>л</t>
    </r>
    <r>
      <rPr>
        <sz val="11"/>
        <rFont val="Times New Roman"/>
        <family val="1"/>
        <charset val="204"/>
      </rPr>
      <t>в. за окончателно плащане по фактура за изготвяне на програма за управление на отпадъците на Община Мадан;  На  25.07.2016г. са дадени на община Мадан 4 500 лв. за окончателно плащане по договор за извършване на морфологичен анализ на състава и количеството на битовите отпадъци, образувани на територията на Община Мадан/</t>
    </r>
  </si>
  <si>
    <r>
      <t xml:space="preserve">13 788,60 лв. </t>
    </r>
    <r>
      <rPr>
        <sz val="11"/>
        <rFont val="Times New Roman"/>
        <family val="1"/>
        <charset val="204"/>
      </rPr>
      <t>/На 24.01.2017г. са разрешени 13 788,60 лв. за извършване на послеследващи разходи на Регионално депо Мадан/</t>
    </r>
  </si>
  <si>
    <r>
      <t xml:space="preserve"> </t>
    </r>
    <r>
      <rPr>
        <b/>
        <sz val="11"/>
        <rFont val="Times New Roman"/>
        <family val="1"/>
        <charset val="204"/>
      </rPr>
      <t xml:space="preserve">3 726 лв. </t>
    </r>
    <r>
      <rPr>
        <sz val="11"/>
        <rFont val="Times New Roman"/>
        <family val="1"/>
        <charset val="204"/>
      </rPr>
      <t>/На 16.09.2015 г. са разрешени 3 726 лв. на Община Златоград за авансово плащане за изготвяне на морфологичен анализ на състава на битовите отпадъци  и разработване на програма за управление на отпадъците за периода 2015-2020 г./</t>
    </r>
  </si>
  <si>
    <r>
      <t>17 101,20 лв.</t>
    </r>
    <r>
      <rPr>
        <sz val="11"/>
        <rFont val="Times New Roman"/>
        <family val="1"/>
        <charset val="204"/>
      </rPr>
      <t xml:space="preserve"> /На 07.03.2016г. са отпуснати  1 296 лв. на община Златоград за закупуване на найлонови чували  и на 26.09.2016г. 7 111.20 лв. на община Златоград за закупуване на метални контейнери за временно съхранение на биоразградими отпадъци по проект „Въвеждане на разделно събиране на биоразградим (зелен) отпадък за региона на Общините – Златоград, Мадан и Неделно, включително доставка на специализирана машина за разстилане, компактиране и трамбоване на Регионално депо”; На 30.05.2016г. са освободени на Община Златоград  8 694 лв. за  окончателно плащане по договор за  „Изготвяне на морфологичен анализ на състава и количеството на битовите отпадъци и разработване на общинска програма за управление на отпадъците 2015-2020г.;/</t>
    </r>
  </si>
  <si>
    <r>
      <t xml:space="preserve"> </t>
    </r>
    <r>
      <rPr>
        <b/>
        <sz val="11"/>
        <rFont val="Times New Roman"/>
        <family val="1"/>
        <charset val="204"/>
      </rPr>
      <t>10 800 лв.</t>
    </r>
    <r>
      <rPr>
        <sz val="11"/>
        <rFont val="Times New Roman"/>
        <family val="1"/>
        <charset val="204"/>
      </rPr>
      <t xml:space="preserve"> /На  14.11.2016г. са дадени на община Неделино 10 800 лв. за  плащане по договор за извършване на морфологичен анализ на състава и количеството на битовите отпадъци, образувани на територията на Община Неделино и  за изготвяне на общинска програма за управление на отпадъците на община Неделино за периода 2015-2020г.“/</t>
    </r>
  </si>
  <si>
    <r>
      <t xml:space="preserve"> </t>
    </r>
    <r>
      <rPr>
        <b/>
        <sz val="11"/>
        <rFont val="Times New Roman"/>
        <family val="1"/>
        <charset val="204"/>
      </rPr>
      <t>1 848 лв.</t>
    </r>
    <r>
      <rPr>
        <sz val="11"/>
        <rFont val="Times New Roman"/>
        <family val="1"/>
        <charset val="204"/>
      </rPr>
      <t xml:space="preserve"> /На  03.01.2017г. са дадени на община Неделино 1 848 лв. за  закупуване на 40 бр. пластмасови кофи за отпадъци/</t>
    </r>
  </si>
  <si>
    <r>
      <t>19 380 лв.</t>
    </r>
    <r>
      <rPr>
        <sz val="11"/>
        <rFont val="Times New Roman"/>
        <family val="1"/>
        <charset val="204"/>
      </rPr>
      <t xml:space="preserve">/На 30.09.2016г. са освободени  </t>
    </r>
    <r>
      <rPr>
        <b/>
        <sz val="11"/>
        <rFont val="Times New Roman"/>
        <family val="1"/>
        <charset val="204"/>
      </rPr>
      <t>19 380</t>
    </r>
    <r>
      <rPr>
        <sz val="11"/>
        <rFont val="Times New Roman"/>
        <family val="1"/>
        <charset val="204"/>
      </rPr>
      <t xml:space="preserve"> лв.  за разработване на Общинска програма за управление на отпадъците 2015-2020г. на община Смолян и изготвяне на морфологичен анализ на състава и количеството битови отпадъци, образувани на територията на община Смолян;/</t>
    </r>
  </si>
  <si>
    <r>
      <t>18 720 лв.</t>
    </r>
    <r>
      <rPr>
        <sz val="11"/>
        <rFont val="Times New Roman"/>
        <family val="1"/>
        <charset val="204"/>
      </rPr>
      <t xml:space="preserve"> /На 12.06.2015 г. е разрешено първо авансово плащане  за изготвяне на програма  за управление на отпадъците и морфологичен анализ на отпадъците на община Чепеларе - 4560 лв., на 22.10.2015 г. са  освободени 2 880 лв. за  следващо авансово плащане, на 03.08.2015 г. е разрешено междинно плащане за изготвяне на програма  за управление на отпадъците на Община Чепеларе - 11280 лв.;  </t>
    </r>
  </si>
  <si>
    <r>
      <t xml:space="preserve">12 480 лв. </t>
    </r>
    <r>
      <rPr>
        <sz val="11"/>
        <rFont val="Times New Roman"/>
        <family val="1"/>
        <charset val="204"/>
      </rPr>
      <t xml:space="preserve">/На 07.01.2016 г. са  отпуснати 2 880 лв., на 20.05.2016г. 2 880 лв. за  авансово плащане  за изготвяне на морфологичен анализ на състава и количеството битови отпадъци, образувани на територията  на община Чепеларе; На 18.01.2016г. са освободени 6 720 лв. за окончателно плащане  за разработване на Общинска програма за управление на отпадъците 2015-2020г. на община Чепеларе;/ </t>
    </r>
  </si>
  <si>
    <r>
      <t>4 032 лв.</t>
    </r>
    <r>
      <rPr>
        <sz val="11"/>
        <rFont val="Times New Roman"/>
        <family val="1"/>
        <charset val="204"/>
      </rPr>
      <t xml:space="preserve"> /На 07.12.2015 г. са отпуснати 4 032 лв. за изготвяне на морфологичен анализ на състава  и количествата на битовите отпадъци  и за изготвяне на програма за управление на отпадъците на община Доспат за периода 2015-2020 г.;/</t>
    </r>
  </si>
  <si>
    <r>
      <t xml:space="preserve">16 128 лв. </t>
    </r>
    <r>
      <rPr>
        <sz val="11"/>
        <rFont val="Times New Roman"/>
        <family val="1"/>
        <charset val="204"/>
      </rPr>
      <t>/На 31.05.2016г. са освободени  13 992 лв. и на 07.07.2016г.  2 136 лв. за изготвяне на морфологичен анализ на състава  и количествата на битовите отпадъци  и за изготвяне на програма за управление на отпадъците на община Доспат за периода 2015-2020 г.;/</t>
    </r>
  </si>
  <si>
    <r>
      <t xml:space="preserve">23 005,68 лв. </t>
    </r>
    <r>
      <rPr>
        <sz val="11"/>
        <rFont val="Times New Roman"/>
        <family val="1"/>
        <charset val="204"/>
      </rPr>
      <t xml:space="preserve">/На 28.03.2017г. са освободени  12 205,68 лв. за извършване на последващи разходи на депото. На  17.11.2017г. са освободени 10 800 лв. за закупуване на верига с детайли за съединяване-2бр./           </t>
    </r>
  </si>
  <si>
    <r>
      <t>7 200 лв.</t>
    </r>
    <r>
      <rPr>
        <sz val="11"/>
        <rFont val="Times New Roman"/>
        <family val="1"/>
        <charset val="204"/>
      </rPr>
      <t xml:space="preserve"> /На 13.12.2016г. са освободени 7 200 лв. за авансово плащане за изготвяне на Общинска програма за управление на отпадъците на община Девин за периода 2017-2020 г., включваща и изготвяне на морфологичен анализ на състава и количествата на битовите отпадъци образувани на територията на община Девин/</t>
    </r>
  </si>
  <si>
    <r>
      <t xml:space="preserve"> 16 800 лв.</t>
    </r>
    <r>
      <rPr>
        <sz val="11"/>
        <rFont val="Times New Roman"/>
        <family val="1"/>
        <charset val="204"/>
      </rPr>
      <t xml:space="preserve"> /На 22.02.2017г. са освободени 7 200 лв. за междинно плащане  и  на 10.04.2017г. са разрешени 9 600 лв. за окончателно плащане за изготвяне на Общинска програма за управление на отпадъците на община Девин за периода 2017-2020 г., включваща и изготвяне на морфологичен анализ на състава и количествата на битовите отпадъци образувани на територията на община Девин/</t>
    </r>
  </si>
  <si>
    <r>
      <t xml:space="preserve">20 160 лв. </t>
    </r>
    <r>
      <rPr>
        <sz val="11"/>
        <rFont val="Times New Roman"/>
        <family val="1"/>
        <charset val="204"/>
      </rPr>
      <t>/На 18.01.2016г. са отпуснати 4 032 лв., на 25.02.2016г.   2 136 лв., на 05.05.2016г.  9 720 лв.,  на 04.07.2016г. 2 136 лв.  и на 03.08.2016г.  2 1 36 лв. за изготвяне на морфологичен анализ на състава  и количествата на битовите отпадъци  и за изготвяне на програма за управление на отпадъците на община Борино за периода 2015-2020 г.;/</t>
    </r>
  </si>
  <si>
    <r>
      <t xml:space="preserve">10 680 лв. </t>
    </r>
    <r>
      <rPr>
        <sz val="11"/>
        <rFont val="Times New Roman"/>
        <family val="1"/>
        <charset val="204"/>
      </rPr>
      <t>/На 25.02.2016г.  са освободени 6 408 лв., на 05.05.2016г.  2 136 лв. и  на 04.07.2016г.   2 136 лв. за изготвяне на морфологичен анализ на състава  и количествата на битовите отпадъци образувани на територията на Община Сатовча;/</t>
    </r>
  </si>
  <si>
    <r>
      <t xml:space="preserve">10 560 лв. </t>
    </r>
    <r>
      <rPr>
        <sz val="11"/>
        <rFont val="Times New Roman"/>
        <family val="1"/>
        <charset val="204"/>
      </rPr>
      <t>/На 28.06.2017г.  са разрешени 10 560 лв. за „Изработване на Програма за управление на отпадъците на община Сатовча за периода 2017-2020г.”/</t>
    </r>
  </si>
  <si>
    <r>
      <t>Забележки</t>
    </r>
    <r>
      <rPr>
        <b/>
        <i/>
        <sz val="11"/>
        <rFont val="Times New Roman"/>
        <family val="1"/>
        <charset val="204"/>
      </rPr>
      <t xml:space="preserve">: </t>
    </r>
  </si>
  <si>
    <t>5. В колона "Забележки" са посочени  общо отпуснатите средства по проект за съответното депо. Сумите не са за отделни общини.</t>
  </si>
  <si>
    <t>4. Платените лихви от: община Девин за 2016 г. и 2017 г. в размер на 13 756,80 лв.; община Чепеларе за 2017 г. в размер на 928,36 лв. са  съгласно погасителни планове, като лихвите са общо по чл. 60 и чл. 64 от ЗУО.</t>
  </si>
  <si>
    <t xml:space="preserve">3. Платената лихва от община Доспат в размер на 17 072,38 лв. е съгласно погасителни планове и включва: лихва по АУПДВ №4/14.09.2016г. в размер на  4 287,12 лв.,  лихва за просрочие в размер на 8 612,22 лв. и 4 173,04 лв. лихви по втори погасителен план, като лихвите са общо по чл. 60 и чл. 64 от ЗУО. </t>
  </si>
  <si>
    <t>2. От края на м. Март 2017 г. Община Сърница започва да депонира отпадъци на Регионално депо за неопасни отпадъци с. Барутин, общ. Доспат.</t>
  </si>
  <si>
    <t>2017 г.</t>
  </si>
  <si>
    <t>2019 г.</t>
  </si>
  <si>
    <t>2016 г.                   /м.01-м.09.2016 г./</t>
  </si>
  <si>
    <t>м.03-м.12.2017 г.</t>
  </si>
  <si>
    <t>Регионално депо за неопасни отпадъци на общините  Доспат, Девин, Борино, Сатовча и Сърница/ Клетка №1</t>
  </si>
  <si>
    <r>
      <t xml:space="preserve">Сумата от </t>
    </r>
    <r>
      <rPr>
        <b/>
        <sz val="11"/>
        <rFont val="Times New Roman"/>
        <family val="1"/>
        <charset val="204"/>
      </rPr>
      <t xml:space="preserve">53 664,07 лв. </t>
    </r>
    <r>
      <rPr>
        <sz val="11"/>
        <rFont val="Times New Roman"/>
        <family val="1"/>
        <charset val="204"/>
      </rPr>
      <t>е възстановена на община Сатовча, съгласно Решение № 77/30.07.2020 г.</t>
    </r>
  </si>
  <si>
    <r>
      <t>35 778,24 лв. /</t>
    </r>
    <r>
      <rPr>
        <sz val="11"/>
        <rFont val="Times New Roman"/>
        <family val="1"/>
        <charset val="204"/>
      </rPr>
      <t xml:space="preserve">С Решение №78 от 20.08.2020 г.  са отпуснати </t>
    </r>
    <r>
      <rPr>
        <b/>
        <sz val="11"/>
        <rFont val="Times New Roman"/>
        <family val="1"/>
        <charset val="204"/>
      </rPr>
      <t>35 778,24</t>
    </r>
    <r>
      <rPr>
        <sz val="11"/>
        <rFont val="Times New Roman"/>
        <family val="1"/>
        <charset val="204"/>
      </rPr>
      <t xml:space="preserve"> лв. за закупуване на нови пластмасови контейнери за разделно събиране на отпадъци</t>
    </r>
    <r>
      <rPr>
        <b/>
        <sz val="11"/>
        <rFont val="Times New Roman"/>
        <family val="1"/>
        <charset val="204"/>
      </rPr>
      <t>./</t>
    </r>
  </si>
  <si>
    <t>Общо за депо Рудозем</t>
  </si>
  <si>
    <t>Общо за депо Мадан</t>
  </si>
  <si>
    <t>Общо за депо Смолян</t>
  </si>
  <si>
    <t>Общо за депо Доспат</t>
  </si>
  <si>
    <t>7. Предвид издадените Заповеди от 2020 г.  на изпълнителния директор на ИАОС гр. София  и получени заявления от кметовете, с 50 процента са намалени задълженията за 2018 г. на общините Рудозем и  Сатовча. Сумите им са възстановени. На община Доспат са само намалени задълженията. В таблицата по-горе са отразени намалените отчисления.</t>
  </si>
  <si>
    <t>Съгласно Решение № 80/23.10.2020 г. са намалени задълженията по чл. 64 от ЗУО на община Доспат с  27 629,33 лв.</t>
  </si>
  <si>
    <t>2020 г.</t>
  </si>
  <si>
    <r>
      <t xml:space="preserve">28 143,36 лв. </t>
    </r>
    <r>
      <rPr>
        <sz val="11"/>
        <rFont val="Times New Roman"/>
        <family val="1"/>
        <charset val="204"/>
      </rPr>
      <t>/На 14.12.2021 г.  с Решение №86 са разрешени 28 143,36 лв. за закупуване на съдове за разделно събиране на отпадъци/</t>
    </r>
  </si>
  <si>
    <r>
      <t>30 420 лв. /</t>
    </r>
    <r>
      <rPr>
        <sz val="11"/>
        <rFont val="Times New Roman"/>
        <family val="1"/>
        <charset val="204"/>
      </rPr>
      <t>С Решение №85 от 26.08.2021 г.  са отпуснати 22 020</t>
    </r>
    <r>
      <rPr>
        <b/>
        <sz val="11"/>
        <rFont val="Times New Roman"/>
        <family val="1"/>
        <charset val="204"/>
      </rPr>
      <t>,00</t>
    </r>
    <r>
      <rPr>
        <sz val="11"/>
        <rFont val="Times New Roman"/>
        <family val="1"/>
        <charset val="204"/>
      </rPr>
      <t xml:space="preserve"> лв. за закупуване на нови пластмасови контейнери за разделно събиране на отпадъци и на 04.01.2022 г. са разрешени 8 400 лв. за изготвяне на общинска програма за управление на отпадъците за периода 2021-2028 г</t>
    </r>
    <r>
      <rPr>
        <b/>
        <sz val="11"/>
        <rFont val="Times New Roman"/>
        <family val="1"/>
        <charset val="204"/>
      </rPr>
      <t>./</t>
    </r>
  </si>
  <si>
    <t>2021 г.</t>
  </si>
  <si>
    <t>8. Предвид издадените Заповеди от 2022 г.  на изпълнителния директор на ИАОС гр. София  и получени заявления от кметовете, с 50 процента са намалени задълженията за 2019 г. на общините Баните, Доспат и  Сатовча. Сумите им са възстановени. В таблицата по-горе са отразени намалените отчисления.</t>
  </si>
  <si>
    <r>
      <rPr>
        <b/>
        <sz val="11"/>
        <rFont val="Times New Roman"/>
        <family val="1"/>
        <charset val="204"/>
      </rPr>
      <t xml:space="preserve">12 000,00 лв. </t>
    </r>
    <r>
      <rPr>
        <sz val="11"/>
        <rFont val="Times New Roman"/>
        <family val="1"/>
        <charset val="204"/>
      </rPr>
      <t>/С Решение №93 от 12.12.2022 г.  са отпуснати  за разработване на Програма за управление на отпадъците на община Рудозем 2021 - 2028 г.“/</t>
    </r>
  </si>
  <si>
    <r>
      <t xml:space="preserve"> </t>
    </r>
    <r>
      <rPr>
        <b/>
        <sz val="11"/>
        <rFont val="Times New Roman"/>
        <family val="1"/>
        <charset val="204"/>
      </rPr>
      <t>7 800 лв.</t>
    </r>
    <r>
      <rPr>
        <sz val="11"/>
        <rFont val="Times New Roman"/>
        <family val="1"/>
        <charset val="204"/>
      </rPr>
      <t xml:space="preserve"> /На  07.03.2023г. са разрешени на община Неделино 7 800 лв. за  изготвяне на програма за управление на отпадъците за периода 2022 - 2028 г./</t>
    </r>
  </si>
  <si>
    <t>11. В справката са отразени промените, приети с ПРЗ на Закона за изменине и допълнение на Данъчно-осигурителния процесуален кодекс.  В клетките за задълженията за 2020 г. са отразени намаленията, а в клетките за постъпилите суми - върнатите средства на общините.</t>
  </si>
  <si>
    <t>12. В справката са отразени приспаднати обезпечения и отчисления за 2021 г. на общините Златоград, Рудозем и Чепеларе и върнати средства от обезпеченията и отчисленията на общините Доспат, Девин, Борино, Сатовча и Сърница за 2021 г., съгласно ПРЗ на  Закона за изменение и допълнение на Данъчно-осигурителния процесуален кодекс.</t>
  </si>
  <si>
    <t>13. В справката са отразени върнати и/или сторнирани обезпечения и отчисления за 2022 г. на общините Борино, Сатовча, Сърница, Девин, Доспат, Баните, Мадан, Неделино, Смолян, Чепеларе и Рудозем по представено Решение на общински съвет, съгласно ПРЗ на  Закона за изменение и допълнение на Данъчно-осигурителния процесуален кодекс.</t>
  </si>
  <si>
    <t>9. Предвид издадените Заповеди от 2023 г.  на изпълнителния директор на ИАОС гр. София  и получени заявления от кметовете, с 50 процента са намалени задълженията за 2020 г. на общините Смолян,  Рудозем, Баните и  Сатовча. Сумите им са възстановени. В таблицата по-горе са отразени намалените отчисления.</t>
  </si>
  <si>
    <r>
      <t>88 076,40 лв. /</t>
    </r>
    <r>
      <rPr>
        <sz val="11"/>
        <rFont val="Times New Roman"/>
        <family val="1"/>
        <charset val="204"/>
      </rPr>
      <t xml:space="preserve">На 31.01.2017г. са отпуснати 52 704 лв. за закупуване на пластмасови кофи за битови отпадъци и на 01.03.2017г. са разрешени още 35 372,40 лв. за мултифункционална машина за разделно събиране на отпадъци/ </t>
    </r>
  </si>
  <si>
    <r>
      <t xml:space="preserve">Сумата от </t>
    </r>
    <r>
      <rPr>
        <b/>
        <sz val="11"/>
        <rFont val="Times New Roman"/>
        <family val="1"/>
        <charset val="204"/>
      </rPr>
      <t xml:space="preserve">73 049,49 лв. </t>
    </r>
    <r>
      <rPr>
        <sz val="11"/>
        <rFont val="Times New Roman"/>
        <family val="1"/>
        <charset val="204"/>
      </rPr>
      <t>е възстановена на община Сатовча, съгласно Решение № 92/24.08.2022 г.</t>
    </r>
  </si>
  <si>
    <r>
      <t xml:space="preserve">Сумата от </t>
    </r>
    <r>
      <rPr>
        <b/>
        <sz val="11"/>
        <rFont val="Times New Roman"/>
        <family val="1"/>
        <charset val="204"/>
      </rPr>
      <t xml:space="preserve">35 181,26лв. </t>
    </r>
    <r>
      <rPr>
        <sz val="11"/>
        <rFont val="Times New Roman"/>
        <family val="1"/>
        <charset val="204"/>
      </rPr>
      <t>е възстановена на община Доспат, съгласно Решение № 91/27.07.2022 г.</t>
    </r>
  </si>
  <si>
    <r>
      <t xml:space="preserve">Сумата от </t>
    </r>
    <r>
      <rPr>
        <b/>
        <sz val="11"/>
        <rFont val="Times New Roman"/>
        <family val="1"/>
        <charset val="204"/>
      </rPr>
      <t xml:space="preserve">18 965,80 лв. </t>
    </r>
    <r>
      <rPr>
        <sz val="11"/>
        <rFont val="Times New Roman"/>
        <family val="1"/>
        <charset val="204"/>
      </rPr>
      <t>е възстановена на община Сатовча, съгласно Решение № 96/11.05.2023 г.</t>
    </r>
  </si>
  <si>
    <r>
      <t xml:space="preserve">Сумата от </t>
    </r>
    <r>
      <rPr>
        <b/>
        <sz val="11"/>
        <rFont val="Times New Roman"/>
        <family val="1"/>
        <charset val="204"/>
      </rPr>
      <t xml:space="preserve">1 439,73 лв. </t>
    </r>
    <r>
      <rPr>
        <sz val="11"/>
        <rFont val="Times New Roman"/>
        <family val="1"/>
        <charset val="204"/>
      </rPr>
      <t>е възстановена на община Баните, съгласно Решение № 98/07.06.2023 г.</t>
    </r>
  </si>
  <si>
    <r>
      <t xml:space="preserve">Сумата от </t>
    </r>
    <r>
      <rPr>
        <b/>
        <sz val="11"/>
        <rFont val="Times New Roman"/>
        <family val="1"/>
        <charset val="204"/>
      </rPr>
      <t xml:space="preserve">5 814 лв. </t>
    </r>
    <r>
      <rPr>
        <sz val="11"/>
        <rFont val="Times New Roman"/>
        <family val="1"/>
        <charset val="204"/>
      </rPr>
      <t>е възстановена на община Рудозем, съгласно Решение № 95/18.04.2023 г.</t>
    </r>
  </si>
  <si>
    <r>
      <t xml:space="preserve">Сумата от </t>
    </r>
    <r>
      <rPr>
        <b/>
        <sz val="11"/>
        <rFont val="Times New Roman"/>
        <family val="1"/>
        <charset val="204"/>
      </rPr>
      <t xml:space="preserve">62 228,80 </t>
    </r>
    <r>
      <rPr>
        <sz val="11"/>
        <rFont val="Times New Roman"/>
        <family val="1"/>
        <charset val="204"/>
      </rPr>
      <t>лв. е възстановена на община Смолян, съгласно Решение № 97/23.05.2023 г.</t>
    </r>
  </si>
  <si>
    <r>
      <t xml:space="preserve">4 114  707,31 лв. </t>
    </r>
    <r>
      <rPr>
        <sz val="9"/>
        <rFont val="Times New Roman"/>
        <family val="1"/>
        <charset val="204"/>
      </rPr>
      <t>/За обект „Реконструкция и модернизация на регионално депо за ТБО „Теклен дол” – гр. Смолян – проектиране и строителство на сепарираща и компостираща инсталация за битови отпадъци са отпуснати следните средства: на 27.11.2013г.  162 240 лв., на 22.01.2014 г. 319 361,34 лв., на 11.12.2014 г.  5 391,55 лв.,  на 24.08.2015 г.  541 877,31 лв.,  на 24.09.2015 г. са разрешени  757 714,85 лв., на   27.07.2016г. са разрешени 368 801,46 лв., но от тях през 2016г. са изплатени  само 245 000 лв. и на 04.01.2017г.  останалите 123 801.46 лв. На 20.12.2017г. са отпуснати 59 320,80лв. за изграждане на подобект „Инсталация за сепариране и компостиране“, като част от обект „Реконструкция и модернизация на Регионално депо за ТБО „Теклен дол“ в гр. Смолян – проектиране и строителство на сепарираща и компостираща инсталация за битови отпадъци“ . С Решение №66/12.02.2019г. са разрешени 1 900 000 лв. на Община Смолян за погасяване на безлихвен заем от ПУДООС./</t>
    </r>
  </si>
  <si>
    <r>
      <t xml:space="preserve">10 824,00 лв. </t>
    </r>
    <r>
      <rPr>
        <sz val="11"/>
        <rFont val="Times New Roman"/>
        <family val="1"/>
        <charset val="204"/>
      </rPr>
      <t>/С Решение №100 от 04.10.2023 г.  са отпуснати за извършване на морфологичен анализ на битовите отпадъци, генерирани на територията на община Рудозем в продължение на една година за всеки от четирите сезона./</t>
    </r>
  </si>
  <si>
    <t>2022 г.</t>
  </si>
  <si>
    <t>2023 г.</t>
  </si>
  <si>
    <t>14. В справката са отразени върнати и/или сторнирани обезпечения и отчисления за 2023 г. на общините Смолян, Баните, Чепеларе, Доспат, Девин, Борино, Сатовча, Сърница,  Мадан, Златоград и Неделино, по представени Решения на общински съвет, съгласно ПРЗ на  Закона за изменение и допълнение на Данъчно-осигурителния процесуален кодекс.</t>
  </si>
  <si>
    <r>
      <t xml:space="preserve">Съгласно Решение № 89/31.05.2022 г. са разрешени </t>
    </r>
    <r>
      <rPr>
        <b/>
        <sz val="11"/>
        <rFont val="Times New Roman"/>
        <family val="1"/>
        <charset val="204"/>
      </rPr>
      <t>14 160,00 лв</t>
    </r>
    <r>
      <rPr>
        <sz val="11"/>
        <rFont val="Times New Roman"/>
        <family val="1"/>
        <charset val="204"/>
      </rPr>
      <t>. за разработване на Програма за управление на отпадъците на община Девин 2022-2028 г.</t>
    </r>
  </si>
  <si>
    <r>
      <rPr>
        <b/>
        <sz val="9"/>
        <rFont val="Times New Roman"/>
        <family val="1"/>
        <charset val="204"/>
      </rPr>
      <t xml:space="preserve">1 466 129,14 лв. </t>
    </r>
    <r>
      <rPr>
        <sz val="9"/>
        <rFont val="Times New Roman"/>
        <family val="1"/>
        <charset val="204"/>
      </rPr>
      <t>/На 09.06.2015 г. са отпуснати 10 200 лв. за плащане по проект „Въвеждане на разделно събиране на отпадъци от хартия, пластмаса и стъкло за региона на общините – Доспат, Девин, Борино и Сатовча, закупуване и доставка на контейнери за разделно събиране на отпадъците, закупуване на преси и обособяване на площадки за балиране и временно съхранение на упоменатите отпадъци” и проект за Разширение на РД за ТБО на общините Доспат, Девин, Борино и Сатовча; На 16.03.2016г. са отпуснати 43 800 лв. на Община Доспат за изготвяне на Доклад за съответствие на проектна документация  и за окончателно плащане за изготвяне на проект за строеж "Реконструкция и модернизация на РД за неопасни отпадъци на общините Доспат, Девин, Борино и Сатовча; На 15.02.2018г. са освободени 6 000,00лв. за изготвяне на инвестиционен проект за биологична и технологична рекултивация за обект "Реконструкция и модернизация на регионално депо за неопасни отпадъци на общините Доспат, Девин, Борино и Сатовча”. На 11.09.2018г. са разрешени 277 200 лв. за предоставяне на експертна помощ при подготовката на проектно предложение "BG16M10P002-2.002 „Комбинирана процедура за проектиране и изграждане на компостиращи инстлации и на инсталации за предварително третиране на битови отпадъци“; На 28.11.2018г.  76 532 лв. и на 12.12.2018г.  144 600лв. за междинно плащане по този проект; С Решение №68 от 19.03.2019г. са отпуснати 105 212,00 лв. на Община Доспат за плащане по проект по ОПОС  - за плащане по договор с предмет "Подготовка на тръжни документации за възлагане на обществени поръчки по проекта за депото - 28 680 лв. и заплати - 76 532 лв.; С Решение №69 от 15.05.2019г. са отпуснати 600 000,00 лв. на Община Доспат за плащане по проект по ОПОС /авансово плащане по договор за строителство./; С Решение №71 от 04.10.2019г. са отпуснати 1 214 789,98 лв. на Община Доспат за „Строително-монтажни работи за изграждане на компостираща инсталация и инсталация за предварително третиране, вкл. довеждаща инфраструктура“; С Решение №72  от 12.02.2020 г. са отпуснати 65 806,76 лв. на община Доспат за електрозахранване на обекта по проекта; С Решение № 73 от 17.03.2020 г. са отпуснати 164 299,72 лв. за работни  заплати на екипа за управление на проекта; С Решение № 74 от 30.03.2020 г. са отпуснати 1 159 894,37 лв. за второ междинно плащане по проекта; С Решение №75  от 22.06.2020 г. са отпуснати 491 760 лв. за доставка на машини за инсталация за предварително третиране и инсталация за компостиране и за изпълнение на поддейност ,,Авторски надзор” по проекта; С Решение №79 от 13.10.2020 г. са  отпуснати  още 1 418 403,40 лв. по  проекта;  С  Решение №81 от 27.11.2020 г.  са отпуснати 1 158 760,00 лв. по проекта.; С Решение №82/27.01.2021 г. са отпуснати  91 463,38 лв.  и с Решение №83/12.03.2021 г.  866 324,51 лв. по проекта. Възстановени суми по ОПОС след верификация: 6 428 916,98 лв. /214 612,31 лв.-11.01.2019; 36 960 лв. - 11.09.2019;       163 637,52 лв. - 13.02.2019;    48 568,18 лв. - 26.03.2019г.;   10 000 лв. - 17.04.2019г.;                20 000 лв. - 19.04.2019г.;     8 120 лв. - 24.04.2019г.; 698 696,59 лв. на 12.07.2019 г.; 990 000 лв. на 11.02.2020 г. ; 824 404,59 лв. на 16.06.2020 г.;  18 384,81 лв. и 29 456,59 лв. на 30.09.2020 г.;  283 298,55 лв. - на 06.10.2020 г.;  47 715,82 лв. -  на 07.10.2020 г.;  186 250 лв. и  568 085,54 лв. на 12.10.2020 г.;  1 137 720,14 лв. на 20.11.2020 г.; 723 776,58 лв. на 27.01.2021 г.; 303 123,32 лв. на 03.07.2024 г.; 106 106,44 лв. на 24.07.2024 г.; 10 000 лв. на 08.10.2024 г./</t>
    </r>
  </si>
  <si>
    <t>2024 г.</t>
  </si>
  <si>
    <t>15. В справката са отразени сторнирани обезпечения и отчисления за 2024 г. на общините: Смолян, Баните,Чепеларе, Златоград, Неделино, Доспат, Борино, Девин, Сатовча и Сърница по представени Решения на общински съвет, съгласно § 21 от ПРЗ на  Закона за управление на отпадъците и § 3 от ПЗР на ЗИД на Закона за местните данъци и такси.</t>
  </si>
  <si>
    <r>
      <t xml:space="preserve">2 170 524,01 лв. </t>
    </r>
    <r>
      <rPr>
        <sz val="9"/>
        <rFont val="Times New Roman"/>
        <family val="1"/>
        <charset val="204"/>
      </rPr>
      <t>/На 02.04.2013г. са разрешени 60 000 лв. -   за обект "Разширение на Регионално депо за ТБО  гр. Мадан и изграждане на площадки за предварително третиране на отпадъците на общините Мадан, Златоград и Неделино"; На 14.04.2015 г. са отпуснати   31 065,60 лв., на 11.05.2015 г. -  124 262,40 лв., на 26.08.2015 г. са разрешени 31 226,40 лв., на 08.12.2015 г. са отпуснати 31 226,40 лв.,  на 13.12.2016г. са отпуснати 59 055,01 лв. за проект "Въвеждане на разделно събиране на биоразградим (зелен) отпадък за региона на Общините Мадан, Златоград и Неделино, включително доставка на специализирана машина за разстилане, компактиране и трамбоване на Регионално депо”; На 23.08.2016г. са отпуснати 10 000 лв. за изготвяне на програма за управление на отпадъците на РСУО „Мадан-Златоград-Неделино“; На 11.04.2017г. са разрешени 90 960 лв. авансово плащане, на 05.05.2017г. 136 440 лв. междинно плащане и на 19.12.2017г. 189 500 лв. за окончателно плащане по процедура за възмездна финансова помощ  „Комбинирана процедура за проектиране и изграждане на компостиращи инсталации и на инсталации за сепариране на битови отпадъци“ по приоритетна ос 2 на ОПОС 2014-2020г.“; На 06.07.2018г. са разрешени 3 918,29 лв. за разходи собствено участие по проекта. На 19.12.2018г. 670 000,00 лв. за договори за извършване на оценка на съответствието на инвестиционните проекти и упражняване на строителен надзор, строеж на инсталация за предварително третиране на битови отпадъци и инсталация за компостиране, доставка и монтаж на оборудванена територията на РДОБ Мадан, инженеринг и, изготвяне на работен проект, изпълнение на строителмо-монтажни работи на инсталация за предварително третиране на битови отпадъци, вкл.обща инфраструктура, технологично оборудване, авторски надзор по време на строителството на територията на РДБО Мадан; На 21.05.2021 г. са разрешени още 318 697,87 лв. по проекта.  На 09.08.2023 г. са разрешени 676 502,50 лв.  за изпълнение на строителни работи на проект „Изпълнение на инженеринг (проектиране, авторски надзор и строителство) на обект/строеж: „Нова клетка за отпадъци  в регионално депо за твърди битови отпадъци, град Мадан, обслужващо общините Мадан, Златоград и Неделино“; На 31.03.2025 г. са разрешени 117 036,96 лв. по  проекта „Изпълнение на инженеринг (проектиране, авторски надзор и строителство) на обект/строеж: „Нова клетка за отпадъци в регионално депо за твърди битови отпадъци, град Мадан, обслужващо общините Мадан, Златоград и Неделино“ . Възстановените средства са: на 19.03.2018 г.  377 446.10 лв. и на 14.12.2021 г. - 1921.32 лв. /</t>
    </r>
  </si>
  <si>
    <t xml:space="preserve">№ по ред </t>
  </si>
  <si>
    <t>Размер на отчисленията по чл. 60 (лв/тон)</t>
  </si>
  <si>
    <t>Постъпили в сметката на РИОСВ отчисления по чл. 64 от ЗУО (лв.)</t>
  </si>
  <si>
    <t>Следва да постъпят в сметката на РИОСВ отчисления по чл. 60 от ЗУО (лв.)</t>
  </si>
  <si>
    <t>Остава да постъпят  по           чл. 60 от ЗУО (лв.)</t>
  </si>
  <si>
    <t>Натрупана лихва за отчисленията по чл. 64 от ЗУО</t>
  </si>
  <si>
    <t>общо за община Мадан</t>
  </si>
  <si>
    <t>общо за община Смолян</t>
  </si>
  <si>
    <t>общо за община Доспат</t>
  </si>
  <si>
    <r>
      <rPr>
        <b/>
        <sz val="11"/>
        <rFont val="Times New Roman"/>
        <family val="1"/>
        <charset val="204"/>
      </rPr>
      <t xml:space="preserve"> </t>
    </r>
    <r>
      <rPr>
        <sz val="11"/>
        <rFont val="Times New Roman"/>
        <family val="1"/>
        <charset val="204"/>
      </rPr>
      <t xml:space="preserve">По Решение №60 от 27.04.2018г. </t>
    </r>
    <r>
      <rPr>
        <b/>
        <sz val="11"/>
        <rFont val="Times New Roman"/>
        <family val="1"/>
        <charset val="204"/>
      </rPr>
      <t>35 298</t>
    </r>
    <r>
      <rPr>
        <sz val="11"/>
        <rFont val="Times New Roman"/>
        <family val="1"/>
        <charset val="204"/>
      </rPr>
      <t xml:space="preserve"> лв. са отпуснати за закупуване на пластмасови контейнери за разделно събиране на отпадъци- 85 бр. и съгласно Решение №76/22.07.2020 г. 3 529,55 лв. са възстановени на община Рудозем.</t>
    </r>
  </si>
  <si>
    <t xml:space="preserve">На 26.07.2019 г. е разрешено плащане в размер на 10 440 лв. за изготвяне на програма  за управление на отпадъците и  за изготвяне на морфологичен анализ на количеството и състава на битовите отпадъци, образувани на територията на община Баните и съгласно Решение № 90/26.07.2022 г. е възстановена на общината сумата от 7 771,66 лв.  </t>
  </si>
  <si>
    <t>10. Посткъпили задължения на община Баните за 2016 г. в размер на 768,12 лв. са платени, но са разпределени погрешно към лихви. Същите са сторнирани от задълженията за 2016 г.</t>
  </si>
  <si>
    <t>начислени задължения -  невъзстановени средства, отпуснати по проект</t>
  </si>
  <si>
    <t>м.01-12.2025 г.</t>
  </si>
  <si>
    <t>16. В справката са отразени сторнирани обезпечения и отчисления за 2025 г. на общините: Смолян, Баните, Чепеларе, Мадан, Златоград, Неделино, Доспат, Девин,  Борино, Сатовча и  Сърница по представени Решения на общинските съвет, съгласно § 3 от ПЗР на ЗИД на Закона за местните данъци и такси.</t>
  </si>
  <si>
    <t>В ЕВРО</t>
  </si>
  <si>
    <t>2025 г.</t>
  </si>
  <si>
    <t xml:space="preserve">р </t>
  </si>
  <si>
    <t>м.01-05.2026 г.</t>
  </si>
  <si>
    <t>Постъпили в сметката на РИОСВ отчисления по чл. 60 от ЗУО (лв.)</t>
  </si>
  <si>
    <t>6. Постъпилите средства са към 01.07.2026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</si>
</sst>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лв.&quot;;[Red]\-#,##0.00\ &quot;лв.&quot;"/>
    <numFmt numFmtId="164" formatCode="#,##0.00\ &quot;лв.&quot;"/>
    <numFmt numFmtId="165" formatCode="_-* #,##0.00\ [$€]_-;\-* #,##0.00\ [$€]_-;_-* &quot;-&quot;??\ [$€]_-;_-@_-"/>
    <numFmt numFmtId="166" formatCode="_-* #,##0.00\ [$€-1]_-;\-* #,##0.00\ [$€-1]_-;_-* &quot;-&quot;??\ [$€-1]_-;_-@_-"/>
    <numFmt numFmtId="167" formatCode="_-* #,##0.00\ [$лв.-402]_-;\-* #,##0.00\ [$лв.-402]_-;_-* &quot;-&quot;??\ [$лв.-402]_-;_-@_-"/>
  </numFmts>
  <fonts count="20" x14ac:knownFonts="1">
    <font>
      <sz val="10"/>
      <name val="Arial"/>
      <charset val="204"/>
    </font>
    <font>
      <sz val="10"/>
      <name val="Arial"/>
      <charset val="204"/>
    </font>
    <font>
      <sz val="8"/>
      <name val="Arial"/>
      <family val="2"/>
      <charset val="204"/>
    </font>
    <font>
      <b/>
      <sz val="10"/>
      <name val="Times New Roman"/>
      <family val="1"/>
      <charset val="204"/>
    </font>
    <font>
      <sz val="9"/>
      <name val="Times New Roman"/>
      <family val="1"/>
      <charset val="204"/>
    </font>
    <font>
      <b/>
      <sz val="9"/>
      <name val="Times New Roman"/>
      <family val="1"/>
      <charset val="204"/>
    </font>
    <font>
      <sz val="10"/>
      <name val="Times New Roman"/>
      <family val="1"/>
      <charset val="204"/>
    </font>
    <font>
      <sz val="10"/>
      <name val="Arial"/>
      <family val="2"/>
      <charset val="204"/>
    </font>
    <font>
      <b/>
      <sz val="11"/>
      <name val="Times New Roman"/>
      <family val="1"/>
      <charset val="204"/>
    </font>
    <font>
      <sz val="11"/>
      <name val="Times New Roman"/>
      <family val="1"/>
      <charset val="204"/>
    </font>
    <font>
      <sz val="11"/>
      <color indexed="10"/>
      <name val="Times New Roman"/>
      <family val="1"/>
      <charset val="204"/>
    </font>
    <font>
      <b/>
      <sz val="11"/>
      <color indexed="10"/>
      <name val="Times New Roman"/>
      <family val="1"/>
      <charset val="204"/>
    </font>
    <font>
      <b/>
      <i/>
      <u/>
      <sz val="11"/>
      <name val="Times New Roman"/>
      <family val="1"/>
      <charset val="204"/>
    </font>
    <font>
      <b/>
      <i/>
      <sz val="11"/>
      <name val="Times New Roman"/>
      <family val="1"/>
      <charset val="204"/>
    </font>
    <font>
      <sz val="14"/>
      <name val="Times New Roman"/>
      <family val="1"/>
      <charset val="204"/>
    </font>
    <font>
      <sz val="9"/>
      <color rgb="FFFF0000"/>
      <name val="Times New Roman"/>
      <family val="1"/>
      <charset val="204"/>
    </font>
    <font>
      <sz val="10"/>
      <color rgb="FFFF0000"/>
      <name val="Arial"/>
      <family val="2"/>
      <charset val="204"/>
    </font>
    <font>
      <sz val="11"/>
      <color rgb="FFFF0000"/>
      <name val="Times New Roman"/>
      <family val="1"/>
      <charset val="204"/>
    </font>
    <font>
      <b/>
      <sz val="11"/>
      <color rgb="FFFF0000"/>
      <name val="Times New Roman"/>
      <family val="1"/>
      <charset val="204"/>
    </font>
    <font>
      <sz val="11"/>
      <color theme="1"/>
      <name val="Times New Roman"/>
      <family val="1"/>
      <charset val="204"/>
    </font>
  </fonts>
  <fills count="15">
    <fill>
      <patternFill patternType="none"/>
    </fill>
    <fill>
      <patternFill patternType="gray125"/>
    </fill>
    <fill>
      <patternFill patternType="solid">
        <fgColor indexed="50"/>
        <bgColor indexed="64"/>
      </patternFill>
    </fill>
    <fill>
      <patternFill patternType="solid">
        <fgColor indexed="22"/>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10"/>
        <bgColor indexed="64"/>
      </patternFill>
    </fill>
    <fill>
      <patternFill patternType="solid">
        <fgColor indexed="51"/>
        <bgColor indexed="64"/>
      </patternFill>
    </fill>
    <fill>
      <patternFill patternType="solid">
        <fgColor indexed="53"/>
        <bgColor indexed="64"/>
      </patternFill>
    </fill>
    <fill>
      <patternFill patternType="solid">
        <fgColor indexed="48"/>
        <bgColor indexed="64"/>
      </patternFill>
    </fill>
    <fill>
      <patternFill patternType="solid">
        <fgColor theme="0"/>
        <bgColor indexed="64"/>
      </patternFill>
    </fill>
    <fill>
      <patternFill patternType="solid">
        <fgColor rgb="FF92D050"/>
        <bgColor indexed="64"/>
      </patternFill>
    </fill>
    <fill>
      <patternFill patternType="solid">
        <fgColor rgb="FF7030A0"/>
        <bgColor indexed="64"/>
      </patternFill>
    </fill>
    <fill>
      <patternFill patternType="solid">
        <fgColor rgb="FF00B0F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165" fontId="1" fillId="0" borderId="0" applyFont="0" applyFill="0" applyBorder="0" applyAlignment="0" applyProtection="0"/>
    <xf numFmtId="0" fontId="7" fillId="0" borderId="0"/>
  </cellStyleXfs>
  <cellXfs count="299">
    <xf numFmtId="0" fontId="0" fillId="0" borderId="0" xfId="0"/>
    <xf numFmtId="0" fontId="0" fillId="0" borderId="0" xfId="0" applyFill="1"/>
    <xf numFmtId="0" fontId="4" fillId="0" borderId="0" xfId="0" applyFont="1" applyFill="1" applyBorder="1" applyAlignment="1">
      <alignment horizontal="center" vertical="center" wrapText="1"/>
    </xf>
    <xf numFmtId="0" fontId="4" fillId="0" borderId="1" xfId="0" applyFont="1" applyBorder="1"/>
    <xf numFmtId="0" fontId="4" fillId="2" borderId="1" xfId="0" applyFont="1" applyFill="1" applyBorder="1"/>
    <xf numFmtId="0" fontId="4" fillId="0" borderId="0" xfId="0" applyFont="1"/>
    <xf numFmtId="0" fontId="6" fillId="0" borderId="0" xfId="0" applyFont="1"/>
    <xf numFmtId="0" fontId="5" fillId="0" borderId="0" xfId="0" applyFont="1" applyFill="1" applyBorder="1" applyAlignment="1">
      <alignment vertical="center" wrapText="1"/>
    </xf>
    <xf numFmtId="0" fontId="15" fillId="0" borderId="1" xfId="0" applyFont="1" applyBorder="1"/>
    <xf numFmtId="0" fontId="16" fillId="0" borderId="0" xfId="0" applyFont="1"/>
    <xf numFmtId="0" fontId="16" fillId="0" borderId="0" xfId="0" applyFont="1" applyFill="1"/>
    <xf numFmtId="0" fontId="16" fillId="0" borderId="2" xfId="0" applyFont="1" applyBorder="1"/>
    <xf numFmtId="0" fontId="7" fillId="0" borderId="0" xfId="0" applyFont="1"/>
    <xf numFmtId="0" fontId="9" fillId="0" borderId="1" xfId="0" applyFont="1" applyBorder="1" applyAlignment="1">
      <alignment horizontal="left" vertical="center"/>
    </xf>
    <xf numFmtId="4" fontId="9" fillId="0" borderId="1" xfId="0" applyNumberFormat="1" applyFont="1" applyBorder="1" applyAlignment="1">
      <alignment horizontal="right" vertical="center"/>
    </xf>
    <xf numFmtId="164" fontId="9" fillId="0" borderId="1" xfId="0" applyNumberFormat="1" applyFont="1" applyBorder="1" applyAlignment="1">
      <alignment horizontal="right" vertical="center"/>
    </xf>
    <xf numFmtId="164" fontId="9" fillId="0" borderId="1" xfId="0" applyNumberFormat="1" applyFont="1" applyFill="1" applyBorder="1" applyAlignment="1">
      <alignment horizontal="right" vertical="center"/>
    </xf>
    <xf numFmtId="0" fontId="10" fillId="0" borderId="1" xfId="0" applyFont="1" applyFill="1" applyBorder="1"/>
    <xf numFmtId="0" fontId="9" fillId="0" borderId="1" xfId="0" applyFont="1" applyBorder="1"/>
    <xf numFmtId="4" fontId="9" fillId="0" borderId="1" xfId="0" applyNumberFormat="1" applyFont="1" applyBorder="1"/>
    <xf numFmtId="4" fontId="9" fillId="0" borderId="1" xfId="0" applyNumberFormat="1" applyFont="1" applyFill="1" applyBorder="1" applyAlignment="1">
      <alignment horizontal="right" vertical="center"/>
    </xf>
    <xf numFmtId="0" fontId="10" fillId="0" borderId="1" xfId="0" applyFont="1" applyFill="1" applyBorder="1" applyAlignment="1">
      <alignment vertical="center"/>
    </xf>
    <xf numFmtId="164" fontId="8" fillId="0" borderId="1" xfId="0" applyNumberFormat="1" applyFont="1" applyBorder="1" applyAlignment="1">
      <alignment vertical="center" wrapText="1"/>
    </xf>
    <xf numFmtId="164" fontId="8" fillId="0" borderId="1" xfId="0" applyNumberFormat="1" applyFont="1" applyFill="1" applyBorder="1" applyAlignment="1">
      <alignment vertical="center" wrapText="1"/>
    </xf>
    <xf numFmtId="4" fontId="9" fillId="11" borderId="1" xfId="0" applyNumberFormat="1" applyFont="1" applyFill="1" applyBorder="1" applyAlignment="1">
      <alignment horizontal="right" vertical="center"/>
    </xf>
    <xf numFmtId="0" fontId="17" fillId="0" borderId="1" xfId="0" applyFont="1" applyFill="1" applyBorder="1" applyAlignment="1">
      <alignment vertical="center"/>
    </xf>
    <xf numFmtId="164" fontId="9" fillId="0" borderId="1" xfId="0" applyNumberFormat="1" applyFont="1" applyBorder="1" applyAlignment="1">
      <alignment vertical="center" wrapText="1"/>
    </xf>
    <xf numFmtId="4" fontId="17" fillId="0" borderId="1" xfId="0" applyNumberFormat="1" applyFont="1" applyBorder="1"/>
    <xf numFmtId="0" fontId="9" fillId="0" borderId="3" xfId="0" applyFont="1" applyBorder="1" applyAlignment="1">
      <alignment horizontal="center" vertical="center" wrapText="1"/>
    </xf>
    <xf numFmtId="164" fontId="9" fillId="11" borderId="1" xfId="0" applyNumberFormat="1" applyFont="1" applyFill="1" applyBorder="1" applyAlignment="1">
      <alignment horizontal="right" vertical="center"/>
    </xf>
    <xf numFmtId="164" fontId="18" fillId="0" borderId="1" xfId="0" applyNumberFormat="1" applyFont="1" applyBorder="1" applyAlignment="1">
      <alignment vertical="center" wrapText="1"/>
    </xf>
    <xf numFmtId="0" fontId="8" fillId="0" borderId="4" xfId="0" applyFont="1" applyBorder="1" applyAlignment="1">
      <alignment horizontal="left"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xf>
    <xf numFmtId="0" fontId="8" fillId="2" borderId="5" xfId="0" applyFont="1" applyFill="1" applyBorder="1" applyAlignment="1">
      <alignment horizontal="center" vertical="center"/>
    </xf>
    <xf numFmtId="0" fontId="8" fillId="1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horizontal="right" vertical="center"/>
    </xf>
    <xf numFmtId="4" fontId="8" fillId="2" borderId="1" xfId="0" applyNumberFormat="1" applyFont="1" applyFill="1" applyBorder="1"/>
    <xf numFmtId="4" fontId="9" fillId="2" borderId="1" xfId="0" applyNumberFormat="1" applyFont="1" applyFill="1" applyBorder="1"/>
    <xf numFmtId="0" fontId="9" fillId="0" borderId="1" xfId="0" applyFont="1" applyBorder="1" applyAlignment="1">
      <alignment horizontal="center" vertical="center" wrapText="1"/>
    </xf>
    <xf numFmtId="0" fontId="9" fillId="0" borderId="6" xfId="0" applyFont="1" applyFill="1" applyBorder="1" applyAlignment="1">
      <alignment horizontal="left" vertical="center"/>
    </xf>
    <xf numFmtId="4" fontId="9" fillId="0" borderId="4" xfId="0" applyNumberFormat="1" applyFont="1" applyFill="1" applyBorder="1" applyAlignment="1">
      <alignment horizontal="right" vertical="center"/>
    </xf>
    <xf numFmtId="164" fontId="17" fillId="0" borderId="1" xfId="0" applyNumberFormat="1" applyFont="1" applyFill="1" applyBorder="1"/>
    <xf numFmtId="4" fontId="17" fillId="0" borderId="1" xfId="0" applyNumberFormat="1" applyFont="1" applyFill="1" applyBorder="1"/>
    <xf numFmtId="4" fontId="9" fillId="0" borderId="1" xfId="0" applyNumberFormat="1" applyFont="1" applyFill="1" applyBorder="1"/>
    <xf numFmtId="0" fontId="9" fillId="0" borderId="7" xfId="0" applyFont="1" applyFill="1" applyBorder="1" applyAlignment="1">
      <alignment horizontal="left" vertical="center"/>
    </xf>
    <xf numFmtId="0" fontId="9" fillId="0" borderId="3" xfId="0" applyFont="1" applyBorder="1" applyAlignment="1">
      <alignment horizontal="left" vertical="center"/>
    </xf>
    <xf numFmtId="4" fontId="9" fillId="0" borderId="4" xfId="0" applyNumberFormat="1" applyFont="1" applyBorder="1" applyAlignment="1">
      <alignment horizontal="right" vertical="center"/>
    </xf>
    <xf numFmtId="0" fontId="17" fillId="0" borderId="1" xfId="0" applyFont="1" applyFill="1" applyBorder="1"/>
    <xf numFmtId="0" fontId="9" fillId="0" borderId="8" xfId="0" applyFont="1" applyBorder="1" applyAlignment="1">
      <alignment horizontal="left" vertical="center"/>
    </xf>
    <xf numFmtId="0" fontId="9" fillId="0" borderId="9" xfId="0" applyFont="1" applyBorder="1" applyAlignment="1">
      <alignment horizontal="left" vertical="center"/>
    </xf>
    <xf numFmtId="164" fontId="18"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18" fillId="0" borderId="1" xfId="0" applyFont="1" applyFill="1" applyBorder="1" applyAlignment="1">
      <alignment horizontal="center" vertical="center" wrapText="1"/>
    </xf>
    <xf numFmtId="0" fontId="9" fillId="0" borderId="1" xfId="0" applyFont="1" applyFill="1" applyBorder="1"/>
    <xf numFmtId="0" fontId="17" fillId="0" borderId="6" xfId="0" applyFont="1" applyFill="1" applyBorder="1" applyAlignment="1">
      <alignment vertical="center"/>
    </xf>
    <xf numFmtId="0" fontId="17" fillId="0" borderId="1" xfId="0" applyFont="1" applyFill="1" applyBorder="1" applyAlignment="1">
      <alignment horizontal="center" vertical="center" wrapText="1"/>
    </xf>
    <xf numFmtId="0" fontId="8" fillId="2" borderId="1" xfId="0" applyFont="1" applyFill="1" applyBorder="1"/>
    <xf numFmtId="0" fontId="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4" fontId="8" fillId="0" borderId="1" xfId="0" applyNumberFormat="1" applyFont="1" applyFill="1" applyBorder="1" applyAlignment="1">
      <alignment wrapText="1"/>
    </xf>
    <xf numFmtId="0" fontId="17" fillId="0" borderId="1" xfId="0" applyFont="1" applyFill="1" applyBorder="1" applyAlignment="1">
      <alignment vertical="center" wrapText="1"/>
    </xf>
    <xf numFmtId="164" fontId="9" fillId="0" borderId="1" xfId="0" applyNumberFormat="1" applyFont="1" applyFill="1" applyBorder="1" applyAlignment="1">
      <alignment vertical="center"/>
    </xf>
    <xf numFmtId="4" fontId="18" fillId="0" borderId="1" xfId="0" applyNumberFormat="1" applyFont="1" applyFill="1" applyBorder="1" applyAlignment="1">
      <alignment wrapText="1"/>
    </xf>
    <xf numFmtId="0" fontId="8" fillId="2" borderId="3" xfId="0" applyFont="1" applyFill="1" applyBorder="1" applyAlignment="1">
      <alignment horizontal="center" vertical="center"/>
    </xf>
    <xf numFmtId="4" fontId="9" fillId="0" borderId="1" xfId="0" applyNumberFormat="1" applyFont="1" applyFill="1" applyBorder="1" applyAlignment="1">
      <alignment vertical="center"/>
    </xf>
    <xf numFmtId="164" fontId="9" fillId="0" borderId="10" xfId="0" applyNumberFormat="1" applyFont="1" applyFill="1" applyBorder="1" applyAlignment="1">
      <alignment horizontal="center" vertical="center"/>
    </xf>
    <xf numFmtId="164" fontId="17" fillId="0" borderId="1" xfId="0" applyNumberFormat="1" applyFont="1" applyFill="1" applyBorder="1" applyAlignment="1">
      <alignment vertical="center"/>
    </xf>
    <xf numFmtId="4" fontId="17" fillId="0" borderId="1" xfId="0" applyNumberFormat="1" applyFont="1" applyFill="1" applyBorder="1" applyAlignment="1">
      <alignment vertical="center"/>
    </xf>
    <xf numFmtId="164" fontId="9" fillId="0" borderId="1" xfId="0" applyNumberFormat="1" applyFont="1" applyFill="1" applyBorder="1" applyAlignment="1">
      <alignment horizontal="center" vertical="center"/>
    </xf>
    <xf numFmtId="164" fontId="9" fillId="0" borderId="1" xfId="0" applyNumberFormat="1" applyFont="1" applyBorder="1" applyAlignment="1">
      <alignment horizontal="center" vertical="center"/>
    </xf>
    <xf numFmtId="164" fontId="9" fillId="11" borderId="1" xfId="0" applyNumberFormat="1" applyFont="1" applyFill="1" applyBorder="1" applyAlignment="1">
      <alignment vertical="center"/>
    </xf>
    <xf numFmtId="4" fontId="8" fillId="0" borderId="1" xfId="0" applyNumberFormat="1" applyFont="1" applyFill="1" applyBorder="1" applyAlignment="1">
      <alignment vertical="center" wrapText="1"/>
    </xf>
    <xf numFmtId="164" fontId="9" fillId="0" borderId="6" xfId="0" applyNumberFormat="1" applyFont="1" applyFill="1" applyBorder="1" applyAlignment="1">
      <alignment horizontal="center" vertical="center"/>
    </xf>
    <xf numFmtId="4" fontId="18"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4" fontId="9" fillId="0" borderId="3" xfId="0" applyNumberFormat="1" applyFont="1" applyFill="1" applyBorder="1" applyAlignment="1">
      <alignment vertical="center"/>
    </xf>
    <xf numFmtId="164" fontId="9" fillId="0" borderId="7" xfId="0" applyNumberFormat="1" applyFont="1" applyFill="1" applyBorder="1" applyAlignment="1">
      <alignment horizontal="center" vertical="center"/>
    </xf>
    <xf numFmtId="0" fontId="17" fillId="0" borderId="3" xfId="0" applyFont="1" applyFill="1" applyBorder="1"/>
    <xf numFmtId="4" fontId="18" fillId="0" borderId="3" xfId="0" applyNumberFormat="1" applyFont="1" applyFill="1" applyBorder="1" applyAlignment="1">
      <alignment vertical="center" wrapText="1"/>
    </xf>
    <xf numFmtId="4" fontId="9" fillId="0" borderId="3" xfId="0" applyNumberFormat="1" applyFont="1" applyBorder="1"/>
    <xf numFmtId="0" fontId="18" fillId="0" borderId="0" xfId="0" applyFont="1" applyBorder="1" applyAlignment="1">
      <alignment horizontal="center" vertical="center"/>
    </xf>
    <xf numFmtId="4" fontId="17" fillId="0" borderId="0" xfId="0" applyNumberFormat="1" applyFont="1" applyFill="1" applyBorder="1" applyAlignment="1">
      <alignment vertical="center"/>
    </xf>
    <xf numFmtId="164" fontId="17" fillId="0" borderId="0" xfId="0" applyNumberFormat="1" applyFont="1" applyFill="1" applyBorder="1" applyAlignment="1">
      <alignment horizontal="center" vertical="center"/>
    </xf>
    <xf numFmtId="164" fontId="17" fillId="0" borderId="0" xfId="0" applyNumberFormat="1" applyFont="1" applyFill="1" applyBorder="1" applyAlignment="1">
      <alignment vertical="center"/>
    </xf>
    <xf numFmtId="0" fontId="17" fillId="0" borderId="0" xfId="0" applyFont="1" applyFill="1" applyBorder="1"/>
    <xf numFmtId="4" fontId="18" fillId="0" borderId="0" xfId="0" applyNumberFormat="1" applyFont="1" applyFill="1" applyBorder="1" applyAlignment="1">
      <alignment vertical="center" wrapText="1"/>
    </xf>
    <xf numFmtId="4" fontId="9" fillId="0" borderId="0" xfId="0" applyNumberFormat="1" applyFont="1" applyBorder="1"/>
    <xf numFmtId="0" fontId="18" fillId="0" borderId="0" xfId="0" applyFont="1" applyBorder="1" applyAlignment="1">
      <alignment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xf>
    <xf numFmtId="0" fontId="18" fillId="0" borderId="0" xfId="0" applyFont="1" applyBorder="1" applyAlignment="1">
      <alignment horizontal="center" vertical="justify" wrapText="1"/>
    </xf>
    <xf numFmtId="4" fontId="17" fillId="0" borderId="0" xfId="0" applyNumberFormat="1" applyFont="1" applyFill="1" applyBorder="1" applyAlignment="1">
      <alignment horizontal="right" vertical="center"/>
    </xf>
    <xf numFmtId="164" fontId="17" fillId="0" borderId="0" xfId="0" applyNumberFormat="1" applyFont="1" applyFill="1" applyBorder="1" applyAlignment="1">
      <alignment horizontal="right" vertical="center"/>
    </xf>
    <xf numFmtId="164" fontId="17" fillId="0" borderId="0" xfId="0" applyNumberFormat="1" applyFont="1" applyFill="1" applyBorder="1" applyAlignment="1">
      <alignment horizontal="right"/>
    </xf>
    <xf numFmtId="0" fontId="17" fillId="0" borderId="0" xfId="0" applyFont="1" applyFill="1" applyBorder="1" applyAlignment="1">
      <alignment vertical="center" wrapText="1"/>
    </xf>
    <xf numFmtId="4" fontId="9" fillId="0" borderId="0" xfId="0" applyNumberFormat="1" applyFont="1" applyFill="1" applyBorder="1"/>
    <xf numFmtId="0" fontId="12" fillId="0" borderId="0" xfId="0" applyFont="1"/>
    <xf numFmtId="0" fontId="17" fillId="0" borderId="0" xfId="0" applyFont="1"/>
    <xf numFmtId="0" fontId="9" fillId="0" borderId="0" xfId="0" applyFont="1"/>
    <xf numFmtId="0" fontId="17" fillId="0" borderId="0" xfId="0" applyFont="1" applyFill="1" applyAlignment="1">
      <alignment wrapText="1"/>
    </xf>
    <xf numFmtId="164" fontId="17" fillId="0" borderId="0" xfId="0" applyNumberFormat="1" applyFont="1"/>
    <xf numFmtId="0" fontId="17" fillId="0" borderId="0" xfId="0" applyFont="1" applyAlignment="1">
      <alignment vertical="center" wrapText="1"/>
    </xf>
    <xf numFmtId="0" fontId="19" fillId="0" borderId="1" xfId="0" applyFont="1" applyFill="1" applyBorder="1" applyAlignment="1">
      <alignment vertical="center" wrapText="1"/>
    </xf>
    <xf numFmtId="0" fontId="9" fillId="0" borderId="1" xfId="0" applyFont="1" applyFill="1" applyBorder="1" applyAlignment="1">
      <alignment vertical="center" wrapText="1"/>
    </xf>
    <xf numFmtId="164" fontId="9" fillId="0" borderId="3" xfId="0" applyNumberFormat="1" applyFont="1" applyFill="1" applyBorder="1" applyAlignment="1">
      <alignment horizontal="center" vertical="center"/>
    </xf>
    <xf numFmtId="0" fontId="9" fillId="0" borderId="4" xfId="0" applyFont="1" applyBorder="1" applyAlignment="1">
      <alignment horizontal="left" vertical="center"/>
    </xf>
    <xf numFmtId="0" fontId="17" fillId="0" borderId="9" xfId="0" applyFont="1" applyFill="1" applyBorder="1"/>
    <xf numFmtId="4" fontId="17" fillId="0" borderId="11" xfId="0" applyNumberFormat="1" applyFont="1" applyBorder="1"/>
    <xf numFmtId="0" fontId="9" fillId="0" borderId="12" xfId="0" applyFont="1" applyFill="1" applyBorder="1" applyAlignment="1">
      <alignment horizontal="left" vertical="center"/>
    </xf>
    <xf numFmtId="0" fontId="8" fillId="0"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9" fillId="11" borderId="1" xfId="0" applyFont="1" applyFill="1" applyBorder="1" applyAlignment="1">
      <alignment horizontal="center" vertical="center"/>
    </xf>
    <xf numFmtId="0" fontId="16" fillId="0" borderId="0" xfId="0" applyFont="1" applyFill="1" applyBorder="1"/>
    <xf numFmtId="0" fontId="16" fillId="0" borderId="13" xfId="0" applyFont="1" applyBorder="1"/>
    <xf numFmtId="0" fontId="4" fillId="2" borderId="3" xfId="0" applyFont="1" applyFill="1" applyBorder="1"/>
    <xf numFmtId="164" fontId="9" fillId="11" borderId="6" xfId="0" applyNumberFormat="1" applyFont="1" applyFill="1" applyBorder="1" applyAlignment="1">
      <alignment horizontal="center" vertical="center"/>
    </xf>
    <xf numFmtId="0" fontId="17" fillId="11" borderId="1" xfId="0" applyFont="1" applyFill="1" applyBorder="1"/>
    <xf numFmtId="0" fontId="8" fillId="0" borderId="7" xfId="0" applyFont="1" applyBorder="1" applyAlignment="1">
      <alignment horizontal="center" vertical="justify" wrapText="1"/>
    </xf>
    <xf numFmtId="0" fontId="8" fillId="0" borderId="6" xfId="0" applyFont="1" applyBorder="1" applyAlignment="1">
      <alignment horizontal="center" vertical="justify" wrapText="1"/>
    </xf>
    <xf numFmtId="0" fontId="8" fillId="0" borderId="6" xfId="0" applyFont="1" applyBorder="1" applyAlignment="1">
      <alignment horizontal="center" vertical="center"/>
    </xf>
    <xf numFmtId="164" fontId="9" fillId="11" borderId="3" xfId="0" applyNumberFormat="1" applyFont="1" applyFill="1" applyBorder="1" applyAlignment="1">
      <alignment vertical="center"/>
    </xf>
    <xf numFmtId="164" fontId="9" fillId="11" borderId="14" xfId="0" applyNumberFormat="1" applyFont="1" applyFill="1" applyBorder="1" applyAlignment="1">
      <alignment vertical="center"/>
    </xf>
    <xf numFmtId="164" fontId="9" fillId="11" borderId="15" xfId="0" applyNumberFormat="1" applyFont="1" applyFill="1" applyBorder="1" applyAlignment="1">
      <alignment vertical="center"/>
    </xf>
    <xf numFmtId="164" fontId="9" fillId="11" borderId="16" xfId="0" applyNumberFormat="1" applyFont="1" applyFill="1" applyBorder="1" applyAlignment="1">
      <alignment vertical="center"/>
    </xf>
    <xf numFmtId="164" fontId="9" fillId="11" borderId="0" xfId="0" applyNumberFormat="1" applyFont="1" applyFill="1" applyBorder="1" applyAlignment="1">
      <alignment vertical="center"/>
    </xf>
    <xf numFmtId="0" fontId="15" fillId="0" borderId="3" xfId="0" applyFont="1" applyBorder="1"/>
    <xf numFmtId="4" fontId="9" fillId="11" borderId="1" xfId="0" applyNumberFormat="1" applyFont="1" applyFill="1" applyBorder="1" applyAlignment="1">
      <alignment vertical="center" wrapText="1"/>
    </xf>
    <xf numFmtId="4" fontId="18" fillId="11" borderId="1" xfId="0" applyNumberFormat="1" applyFont="1" applyFill="1" applyBorder="1" applyAlignment="1">
      <alignment vertical="center" wrapText="1"/>
    </xf>
    <xf numFmtId="0" fontId="17" fillId="11" borderId="1" xfId="0" applyFont="1" applyFill="1" applyBorder="1" applyAlignment="1">
      <alignment horizontal="center" vertical="center" wrapText="1"/>
    </xf>
    <xf numFmtId="164" fontId="18" fillId="11" borderId="1" xfId="0" applyNumberFormat="1" applyFont="1" applyFill="1" applyBorder="1" applyAlignment="1">
      <alignment vertical="center" wrapText="1"/>
    </xf>
    <xf numFmtId="4" fontId="8" fillId="11" borderId="1" xfId="0" applyNumberFormat="1" applyFont="1" applyFill="1" applyBorder="1" applyAlignment="1">
      <alignment wrapText="1"/>
    </xf>
    <xf numFmtId="4" fontId="18" fillId="11" borderId="1" xfId="0" applyNumberFormat="1" applyFont="1" applyFill="1" applyBorder="1" applyAlignment="1">
      <alignment wrapText="1"/>
    </xf>
    <xf numFmtId="0" fontId="18" fillId="11" borderId="1" xfId="0" applyNumberFormat="1" applyFont="1" applyFill="1" applyBorder="1" applyAlignment="1">
      <alignment horizontal="left" vertical="center" wrapText="1"/>
    </xf>
    <xf numFmtId="164" fontId="8" fillId="11" borderId="1" xfId="0" applyNumberFormat="1" applyFont="1" applyFill="1" applyBorder="1" applyAlignment="1">
      <alignment vertical="center" wrapText="1"/>
    </xf>
    <xf numFmtId="4" fontId="9" fillId="11" borderId="1" xfId="0" applyNumberFormat="1" applyFont="1" applyFill="1" applyBorder="1" applyAlignment="1">
      <alignment vertical="center"/>
    </xf>
    <xf numFmtId="164" fontId="9" fillId="11" borderId="1" xfId="0" applyNumberFormat="1" applyFont="1" applyFill="1" applyBorder="1" applyAlignment="1">
      <alignment horizontal="center" vertical="center"/>
    </xf>
    <xf numFmtId="164" fontId="9" fillId="11" borderId="17" xfId="0" applyNumberFormat="1" applyFont="1" applyFill="1" applyBorder="1" applyAlignment="1">
      <alignment horizontal="right" vertical="center"/>
    </xf>
    <xf numFmtId="0" fontId="0" fillId="11" borderId="0" xfId="0" applyFill="1"/>
    <xf numFmtId="0" fontId="14" fillId="11" borderId="0" xfId="0" applyFont="1" applyFill="1"/>
    <xf numFmtId="164" fontId="9" fillId="13" borderId="1" xfId="0" applyNumberFormat="1" applyFont="1" applyFill="1" applyBorder="1" applyAlignment="1">
      <alignment horizontal="right" vertical="center"/>
    </xf>
    <xf numFmtId="0" fontId="17" fillId="11" borderId="1" xfId="0" applyFont="1" applyFill="1" applyBorder="1" applyAlignment="1">
      <alignment vertical="center"/>
    </xf>
    <xf numFmtId="0" fontId="9" fillId="11" borderId="4" xfId="0" applyFont="1" applyFill="1" applyBorder="1" applyAlignment="1">
      <alignment horizontal="left" vertical="center"/>
    </xf>
    <xf numFmtId="0" fontId="8" fillId="11" borderId="1" xfId="0" applyFont="1" applyFill="1" applyBorder="1" applyAlignment="1">
      <alignment horizontal="center" vertical="center" wrapText="1"/>
    </xf>
    <xf numFmtId="0" fontId="17" fillId="0" borderId="5" xfId="0" applyFont="1" applyFill="1" applyBorder="1"/>
    <xf numFmtId="4" fontId="9" fillId="0" borderId="4" xfId="0" applyNumberFormat="1" applyFont="1" applyBorder="1"/>
    <xf numFmtId="4" fontId="8" fillId="0" borderId="3" xfId="0" applyNumberFormat="1" applyFont="1" applyFill="1" applyBorder="1" applyAlignment="1">
      <alignment vertical="center" wrapText="1"/>
    </xf>
    <xf numFmtId="4" fontId="17" fillId="0" borderId="6" xfId="0" applyNumberFormat="1" applyFont="1" applyFill="1" applyBorder="1"/>
    <xf numFmtId="164" fontId="9" fillId="11" borderId="6" xfId="0" applyNumberFormat="1" applyFont="1" applyFill="1" applyBorder="1" applyAlignment="1">
      <alignment horizontal="right" vertical="center"/>
    </xf>
    <xf numFmtId="4" fontId="9" fillId="0" borderId="0" xfId="0" applyNumberFormat="1" applyFont="1"/>
    <xf numFmtId="0" fontId="9" fillId="11" borderId="1" xfId="0" applyFont="1" applyFill="1" applyBorder="1" applyAlignment="1">
      <alignment horizontal="center" vertical="center" wrapText="1"/>
    </xf>
    <xf numFmtId="4" fontId="9" fillId="11" borderId="3" xfId="0" applyNumberFormat="1" applyFont="1" applyFill="1" applyBorder="1" applyAlignment="1">
      <alignment vertical="center"/>
    </xf>
    <xf numFmtId="164" fontId="9" fillId="11" borderId="3" xfId="0" applyNumberFormat="1" applyFont="1" applyFill="1" applyBorder="1" applyAlignment="1">
      <alignment horizontal="center" vertical="center"/>
    </xf>
    <xf numFmtId="4" fontId="18" fillId="11" borderId="3" xfId="0" applyNumberFormat="1" applyFont="1" applyFill="1" applyBorder="1" applyAlignment="1">
      <alignment vertical="center" wrapText="1"/>
    </xf>
    <xf numFmtId="4" fontId="9" fillId="0" borderId="5" xfId="0" applyNumberFormat="1" applyFont="1" applyBorder="1"/>
    <xf numFmtId="4" fontId="17" fillId="0" borderId="5" xfId="0" applyNumberFormat="1" applyFont="1" applyBorder="1"/>
    <xf numFmtId="4" fontId="9" fillId="0" borderId="11" xfId="0" applyNumberFormat="1" applyFont="1" applyBorder="1"/>
    <xf numFmtId="0" fontId="17" fillId="0" borderId="1" xfId="0" applyFont="1" applyFill="1" applyBorder="1" applyAlignment="1">
      <alignment horizontal="left" vertical="center"/>
    </xf>
    <xf numFmtId="0" fontId="9" fillId="0" borderId="12" xfId="0" applyFont="1" applyBorder="1" applyAlignment="1">
      <alignment horizontal="left" vertical="center"/>
    </xf>
    <xf numFmtId="0" fontId="9" fillId="11" borderId="1" xfId="0" applyNumberFormat="1" applyFont="1" applyFill="1" applyBorder="1" applyAlignment="1">
      <alignment horizontal="left" vertical="center" wrapText="1"/>
    </xf>
    <xf numFmtId="0" fontId="8" fillId="0" borderId="6" xfId="0" applyFont="1" applyFill="1" applyBorder="1" applyAlignment="1">
      <alignment horizontal="center" vertical="center" wrapText="1"/>
    </xf>
    <xf numFmtId="0" fontId="9" fillId="0" borderId="4" xfId="0" applyFont="1" applyFill="1" applyBorder="1" applyAlignment="1">
      <alignment horizontal="left" vertical="center"/>
    </xf>
    <xf numFmtId="0" fontId="9" fillId="0" borderId="4" xfId="0" applyFont="1" applyFill="1" applyBorder="1" applyAlignment="1">
      <alignment horizontal="left" vertical="center" wrapText="1"/>
    </xf>
    <xf numFmtId="0" fontId="8" fillId="2" borderId="3" xfId="0" applyFont="1" applyFill="1" applyBorder="1"/>
    <xf numFmtId="0" fontId="18" fillId="0" borderId="6" xfId="0" applyFont="1" applyBorder="1" applyAlignment="1">
      <alignment horizontal="center" vertical="center"/>
    </xf>
    <xf numFmtId="0" fontId="18" fillId="0" borderId="6" xfId="0" applyFont="1" applyBorder="1" applyAlignment="1">
      <alignment vertical="center" wrapText="1"/>
    </xf>
    <xf numFmtId="0" fontId="9" fillId="11" borderId="0" xfId="0" applyFont="1" applyFill="1" applyAlignment="1">
      <alignment vertical="center" wrapText="1"/>
    </xf>
    <xf numFmtId="4" fontId="9" fillId="0" borderId="3" xfId="0" applyNumberFormat="1" applyFont="1" applyFill="1" applyBorder="1" applyAlignment="1">
      <alignment vertical="center" wrapText="1"/>
    </xf>
    <xf numFmtId="0" fontId="0" fillId="0" borderId="1" xfId="0" applyBorder="1"/>
    <xf numFmtId="0" fontId="3"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8" fillId="14" borderId="1" xfId="0" applyFont="1" applyFill="1" applyBorder="1" applyAlignment="1">
      <alignment horizontal="center" vertical="center" wrapText="1"/>
    </xf>
    <xf numFmtId="4" fontId="8" fillId="14" borderId="1" xfId="0" applyNumberFormat="1" applyFont="1" applyFill="1" applyBorder="1" applyAlignment="1">
      <alignment horizontal="right" vertical="center"/>
    </xf>
    <xf numFmtId="4" fontId="9" fillId="14" borderId="1" xfId="0" applyNumberFormat="1" applyFont="1" applyFill="1" applyBorder="1" applyAlignment="1">
      <alignment horizontal="right" vertical="center"/>
    </xf>
    <xf numFmtId="4" fontId="9" fillId="14" borderId="1" xfId="0" applyNumberFormat="1" applyFont="1" applyFill="1" applyBorder="1" applyAlignment="1">
      <alignment vertical="center"/>
    </xf>
    <xf numFmtId="4" fontId="9" fillId="0" borderId="1" xfId="0" applyNumberFormat="1" applyFont="1" applyFill="1" applyBorder="1" applyAlignment="1">
      <alignment wrapText="1"/>
    </xf>
    <xf numFmtId="0" fontId="9" fillId="13" borderId="1" xfId="0" applyFont="1" applyFill="1" applyBorder="1"/>
    <xf numFmtId="0" fontId="17" fillId="14" borderId="1" xfId="0" applyFont="1" applyFill="1" applyBorder="1"/>
    <xf numFmtId="0" fontId="17" fillId="14" borderId="6" xfId="0" applyFont="1" applyFill="1" applyBorder="1" applyAlignment="1">
      <alignment vertical="center"/>
    </xf>
    <xf numFmtId="0" fontId="17" fillId="14" borderId="1" xfId="0" applyFont="1" applyFill="1" applyBorder="1" applyAlignment="1">
      <alignment vertical="center" wrapText="1"/>
    </xf>
    <xf numFmtId="0" fontId="17" fillId="14" borderId="5" xfId="0" applyFont="1" applyFill="1" applyBorder="1"/>
    <xf numFmtId="164" fontId="17" fillId="14" borderId="1" xfId="0" applyNumberFormat="1" applyFont="1" applyFill="1" applyBorder="1" applyAlignment="1">
      <alignment vertical="center"/>
    </xf>
    <xf numFmtId="0" fontId="17" fillId="14" borderId="3" xfId="0" applyFont="1" applyFill="1" applyBorder="1"/>
    <xf numFmtId="0" fontId="8" fillId="11" borderId="4" xfId="0" applyFont="1" applyFill="1" applyBorder="1" applyAlignment="1">
      <alignment horizontal="left" vertical="center"/>
    </xf>
    <xf numFmtId="0" fontId="8" fillId="14" borderId="4" xfId="0" applyFont="1" applyFill="1" applyBorder="1" applyAlignment="1">
      <alignment horizontal="left" vertical="center"/>
    </xf>
    <xf numFmtId="166" fontId="9" fillId="11" borderId="1" xfId="0" applyNumberFormat="1" applyFont="1" applyFill="1" applyBorder="1" applyAlignment="1">
      <alignment horizontal="right" vertical="center"/>
    </xf>
    <xf numFmtId="166" fontId="9" fillId="13" borderId="1" xfId="0" applyNumberFormat="1" applyFont="1" applyFill="1" applyBorder="1" applyAlignment="1">
      <alignment horizontal="right" vertical="center"/>
    </xf>
    <xf numFmtId="8" fontId="8" fillId="11" borderId="1" xfId="0" applyNumberFormat="1" applyFont="1" applyFill="1" applyBorder="1" applyAlignment="1">
      <alignment horizontal="right" vertical="center" wrapText="1"/>
    </xf>
    <xf numFmtId="0" fontId="8" fillId="11" borderId="3" xfId="0" applyFont="1" applyFill="1" applyBorder="1" applyAlignment="1">
      <alignment horizontal="center" vertical="center" wrapText="1"/>
    </xf>
    <xf numFmtId="167" fontId="9" fillId="11" borderId="1" xfId="0" applyNumberFormat="1" applyFont="1" applyFill="1" applyBorder="1" applyAlignment="1">
      <alignment horizontal="right" vertical="center"/>
    </xf>
    <xf numFmtId="0" fontId="17" fillId="11" borderId="6" xfId="0" applyFont="1" applyFill="1" applyBorder="1" applyAlignment="1">
      <alignment vertical="center"/>
    </xf>
    <xf numFmtId="166" fontId="8" fillId="14" borderId="1" xfId="0" applyNumberFormat="1" applyFont="1" applyFill="1" applyBorder="1" applyAlignment="1">
      <alignment vertical="center" wrapText="1"/>
    </xf>
    <xf numFmtId="49" fontId="9" fillId="13" borderId="1" xfId="0" applyNumberFormat="1" applyFont="1" applyFill="1" applyBorder="1" applyAlignment="1">
      <alignment horizontal="right" vertical="center"/>
    </xf>
    <xf numFmtId="166" fontId="17" fillId="13" borderId="1" xfId="0" applyNumberFormat="1" applyFont="1" applyFill="1" applyBorder="1"/>
    <xf numFmtId="166" fontId="17" fillId="13" borderId="6" xfId="0" applyNumberFormat="1" applyFont="1" applyFill="1" applyBorder="1" applyAlignment="1">
      <alignment vertical="center"/>
    </xf>
    <xf numFmtId="166" fontId="9" fillId="13" borderId="1" xfId="0" applyNumberFormat="1" applyFont="1" applyFill="1" applyBorder="1" applyAlignment="1">
      <alignment horizontal="right" vertical="center" wrapText="1"/>
    </xf>
    <xf numFmtId="166" fontId="9" fillId="14" borderId="1" xfId="0" applyNumberFormat="1" applyFont="1" applyFill="1" applyBorder="1" applyAlignment="1">
      <alignment horizontal="right" vertical="center"/>
    </xf>
    <xf numFmtId="166" fontId="8" fillId="14" borderId="1" xfId="0" applyNumberFormat="1" applyFont="1" applyFill="1" applyBorder="1" applyAlignment="1">
      <alignment horizontal="right" vertical="center" wrapText="1"/>
    </xf>
    <xf numFmtId="166" fontId="8" fillId="14" borderId="1" xfId="0" applyNumberFormat="1" applyFont="1" applyFill="1" applyBorder="1" applyAlignment="1">
      <alignment wrapText="1"/>
    </xf>
    <xf numFmtId="0" fontId="17" fillId="11" borderId="1" xfId="0" applyFont="1" applyFill="1" applyBorder="1" applyAlignment="1">
      <alignment vertical="center" wrapText="1"/>
    </xf>
    <xf numFmtId="0" fontId="9" fillId="11" borderId="1" xfId="0" applyFont="1" applyFill="1" applyBorder="1" applyAlignment="1">
      <alignment horizontal="left" vertical="center"/>
    </xf>
    <xf numFmtId="166" fontId="17" fillId="14" borderId="1" xfId="0" applyNumberFormat="1" applyFont="1" applyFill="1" applyBorder="1"/>
    <xf numFmtId="166" fontId="17" fillId="14" borderId="1" xfId="0" applyNumberFormat="1" applyFont="1" applyFill="1" applyBorder="1" applyAlignment="1">
      <alignment vertical="center" wrapText="1"/>
    </xf>
    <xf numFmtId="166" fontId="9" fillId="14" borderId="1" xfId="0" applyNumberFormat="1" applyFont="1" applyFill="1" applyBorder="1" applyAlignment="1">
      <alignment horizontal="right" vertical="center" wrapText="1"/>
    </xf>
    <xf numFmtId="2" fontId="9" fillId="13" borderId="1" xfId="0" applyNumberFormat="1" applyFont="1" applyFill="1" applyBorder="1" applyAlignment="1">
      <alignment horizontal="right" vertical="center"/>
    </xf>
    <xf numFmtId="0" fontId="17" fillId="11" borderId="5" xfId="0" applyFont="1" applyFill="1" applyBorder="1"/>
    <xf numFmtId="4" fontId="9" fillId="11" borderId="4" xfId="0" applyNumberFormat="1" applyFont="1" applyFill="1" applyBorder="1"/>
    <xf numFmtId="4" fontId="9" fillId="11" borderId="5" xfId="0" applyNumberFormat="1" applyFont="1" applyFill="1" applyBorder="1"/>
    <xf numFmtId="4" fontId="8" fillId="11" borderId="1" xfId="0" applyNumberFormat="1" applyFont="1" applyFill="1" applyBorder="1" applyAlignment="1">
      <alignment vertical="center"/>
    </xf>
    <xf numFmtId="164" fontId="17" fillId="11" borderId="1" xfId="0" applyNumberFormat="1" applyFont="1" applyFill="1" applyBorder="1" applyAlignment="1">
      <alignment vertical="center"/>
    </xf>
    <xf numFmtId="4" fontId="8" fillId="11" borderId="1" xfId="0" applyNumberFormat="1" applyFont="1" applyFill="1" applyBorder="1" applyAlignment="1">
      <alignment vertical="center" wrapText="1"/>
    </xf>
    <xf numFmtId="4" fontId="17" fillId="11" borderId="1" xfId="0" applyNumberFormat="1" applyFont="1" applyFill="1" applyBorder="1"/>
    <xf numFmtId="4" fontId="17" fillId="11" borderId="5" xfId="0" applyNumberFormat="1" applyFont="1" applyFill="1" applyBorder="1"/>
    <xf numFmtId="0" fontId="16" fillId="11" borderId="0" xfId="0" applyFont="1" applyFill="1"/>
    <xf numFmtId="0" fontId="8" fillId="11" borderId="6" xfId="0" applyFont="1" applyFill="1" applyBorder="1" applyAlignment="1">
      <alignment vertical="center" wrapText="1"/>
    </xf>
    <xf numFmtId="0" fontId="17" fillId="11" borderId="3" xfId="0" applyFont="1" applyFill="1" applyBorder="1"/>
    <xf numFmtId="4" fontId="8" fillId="11" borderId="3" xfId="0" applyNumberFormat="1" applyFont="1" applyFill="1" applyBorder="1" applyAlignment="1">
      <alignment vertical="center" wrapText="1"/>
    </xf>
    <xf numFmtId="4" fontId="9" fillId="11" borderId="3" xfId="0" applyNumberFormat="1" applyFont="1" applyFill="1" applyBorder="1"/>
    <xf numFmtId="166" fontId="9" fillId="11" borderId="1" xfId="0" applyNumberFormat="1" applyFont="1" applyFill="1" applyBorder="1" applyAlignment="1">
      <alignment vertical="center"/>
    </xf>
    <xf numFmtId="0" fontId="9" fillId="11" borderId="3" xfId="0" applyFont="1" applyFill="1" applyBorder="1" applyAlignment="1">
      <alignment horizontal="center" vertical="center" wrapText="1"/>
    </xf>
    <xf numFmtId="166" fontId="9" fillId="14" borderId="1" xfId="0" applyNumberFormat="1" applyFont="1" applyFill="1" applyBorder="1" applyAlignment="1">
      <alignment vertical="center"/>
    </xf>
    <xf numFmtId="2" fontId="9" fillId="13" borderId="1" xfId="0" applyNumberFormat="1" applyFont="1" applyFill="1" applyBorder="1" applyAlignment="1">
      <alignment vertical="center"/>
    </xf>
    <xf numFmtId="166" fontId="9" fillId="13" borderId="1" xfId="0" applyNumberFormat="1" applyFont="1" applyFill="1" applyBorder="1" applyAlignment="1">
      <alignment vertical="center"/>
    </xf>
    <xf numFmtId="164" fontId="9" fillId="14" borderId="1" xfId="0" applyNumberFormat="1" applyFont="1" applyFill="1" applyBorder="1" applyAlignment="1">
      <alignment horizontal="center" vertical="center"/>
    </xf>
    <xf numFmtId="166" fontId="9" fillId="11" borderId="6" xfId="0" applyNumberFormat="1" applyFont="1" applyFill="1" applyBorder="1" applyAlignment="1">
      <alignment horizontal="right" vertical="center"/>
    </xf>
    <xf numFmtId="0" fontId="8" fillId="14" borderId="1" xfId="0" applyFont="1" applyFill="1" applyBorder="1" applyAlignment="1">
      <alignment horizontal="left" vertical="center"/>
    </xf>
    <xf numFmtId="166" fontId="9" fillId="11" borderId="3" xfId="0" applyNumberFormat="1" applyFont="1" applyFill="1" applyBorder="1" applyAlignment="1">
      <alignment vertical="center"/>
    </xf>
    <xf numFmtId="166" fontId="9" fillId="14" borderId="1" xfId="0" applyNumberFormat="1" applyFont="1" applyFill="1" applyBorder="1" applyAlignment="1">
      <alignment vertical="center" wrapText="1"/>
    </xf>
    <xf numFmtId="166" fontId="8" fillId="14" borderId="3" xfId="0" applyNumberFormat="1" applyFont="1" applyFill="1" applyBorder="1" applyAlignment="1">
      <alignment vertical="center" wrapText="1"/>
    </xf>
    <xf numFmtId="166" fontId="8" fillId="13" borderId="1" xfId="0" applyNumberFormat="1" applyFont="1" applyFill="1" applyBorder="1" applyAlignment="1">
      <alignment vertical="center" wrapText="1"/>
    </xf>
    <xf numFmtId="166" fontId="8" fillId="13" borderId="1" xfId="0" applyNumberFormat="1" applyFont="1" applyFill="1" applyBorder="1" applyAlignment="1">
      <alignment horizontal="right" vertical="center" wrapText="1"/>
    </xf>
    <xf numFmtId="166" fontId="9" fillId="14" borderId="6" xfId="0" applyNumberFormat="1" applyFont="1" applyFill="1" applyBorder="1" applyAlignment="1">
      <alignment horizontal="right" vertical="center"/>
    </xf>
    <xf numFmtId="4" fontId="8" fillId="14" borderId="1" xfId="0" applyNumberFormat="1" applyFont="1" applyFill="1" applyBorder="1" applyAlignment="1">
      <alignment vertical="center"/>
    </xf>
    <xf numFmtId="4" fontId="9" fillId="14" borderId="3" xfId="0" applyNumberFormat="1" applyFont="1" applyFill="1" applyBorder="1" applyAlignment="1">
      <alignment vertical="center"/>
    </xf>
    <xf numFmtId="166" fontId="9" fillId="14" borderId="3" xfId="0" applyNumberFormat="1" applyFont="1" applyFill="1" applyBorder="1" applyAlignment="1">
      <alignment vertical="center"/>
    </xf>
    <xf numFmtId="0" fontId="8" fillId="0" borderId="3"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vertical="center" wrapText="1"/>
    </xf>
    <xf numFmtId="0" fontId="9" fillId="11" borderId="0" xfId="0" applyFont="1" applyFill="1" applyAlignment="1">
      <alignment vertical="center" wrapText="1"/>
    </xf>
    <xf numFmtId="0" fontId="9" fillId="0" borderId="0" xfId="0" applyFont="1" applyAlignment="1">
      <alignment vertical="center" wrapText="1"/>
    </xf>
    <xf numFmtId="0" fontId="9" fillId="0" borderId="0" xfId="0" applyFont="1" applyFill="1" applyAlignment="1">
      <alignment wrapText="1"/>
    </xf>
    <xf numFmtId="0" fontId="9" fillId="11" borderId="0" xfId="0" applyFont="1" applyFill="1" applyAlignment="1">
      <alignment wrapText="1"/>
    </xf>
    <xf numFmtId="0" fontId="4" fillId="11" borderId="3" xfId="0" applyFont="1" applyFill="1" applyBorder="1" applyAlignment="1">
      <alignment vertical="center" wrapText="1"/>
    </xf>
    <xf numFmtId="0" fontId="4" fillId="11" borderId="7" xfId="0" applyFont="1" applyFill="1" applyBorder="1" applyAlignment="1">
      <alignment vertical="center" wrapText="1"/>
    </xf>
    <xf numFmtId="0" fontId="4" fillId="11" borderId="6" xfId="0" applyFont="1" applyFill="1" applyBorder="1" applyAlignment="1">
      <alignment vertical="center" wrapText="1"/>
    </xf>
    <xf numFmtId="164" fontId="9" fillId="0" borderId="3" xfId="0" applyNumberFormat="1"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9" fillId="11" borderId="3" xfId="0" applyFont="1" applyFill="1" applyBorder="1" applyAlignment="1">
      <alignment horizontal="center" vertical="center"/>
    </xf>
    <xf numFmtId="0" fontId="9" fillId="11" borderId="6" xfId="0" applyFont="1" applyFill="1" applyBorder="1" applyAlignment="1">
      <alignment horizontal="center" vertical="center"/>
    </xf>
    <xf numFmtId="0" fontId="9" fillId="0" borderId="3" xfId="0" applyFont="1" applyFill="1" applyBorder="1" applyAlignment="1">
      <alignment vertical="center"/>
    </xf>
    <xf numFmtId="0" fontId="9" fillId="0" borderId="6" xfId="0" applyFont="1" applyFill="1" applyBorder="1" applyAlignment="1">
      <alignment vertical="center"/>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9" fillId="0" borderId="0" xfId="0" applyFont="1" applyFill="1" applyAlignment="1">
      <alignment vertical="center" wrapText="1"/>
    </xf>
    <xf numFmtId="0" fontId="3" fillId="3" borderId="1" xfId="0" applyFont="1" applyFill="1" applyBorder="1" applyAlignment="1">
      <alignment horizontal="left" vertical="center" wrapText="1"/>
    </xf>
    <xf numFmtId="0" fontId="8" fillId="0" borderId="7" xfId="0" applyFont="1" applyBorder="1" applyAlignment="1">
      <alignment horizontal="center" vertical="justify" wrapText="1"/>
    </xf>
    <xf numFmtId="0" fontId="8" fillId="0" borderId="6" xfId="0" applyFont="1" applyBorder="1" applyAlignment="1">
      <alignment horizontal="center" vertical="justify" wrapText="1"/>
    </xf>
    <xf numFmtId="0" fontId="8" fillId="0" borderId="3" xfId="0" applyFont="1" applyBorder="1" applyAlignment="1">
      <alignment horizontal="center" vertical="justify" wrapText="1"/>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3" fillId="5" borderId="1" xfId="0" applyFont="1" applyFill="1" applyBorder="1" applyAlignment="1">
      <alignment horizontal="left" vertical="center" wrapText="1"/>
    </xf>
    <xf numFmtId="164" fontId="8" fillId="11" borderId="3" xfId="0" applyNumberFormat="1" applyFont="1" applyFill="1" applyBorder="1" applyAlignment="1">
      <alignment horizontal="center" vertical="center"/>
    </xf>
    <xf numFmtId="164" fontId="8" fillId="11" borderId="6" xfId="0" applyNumberFormat="1" applyFont="1" applyFill="1" applyBorder="1" applyAlignment="1">
      <alignment horizontal="center" vertical="center"/>
    </xf>
    <xf numFmtId="0" fontId="3" fillId="2" borderId="18" xfId="0" applyFont="1" applyFill="1" applyBorder="1" applyAlignment="1">
      <alignment horizontal="center" wrapText="1"/>
    </xf>
    <xf numFmtId="0" fontId="3" fillId="2" borderId="19" xfId="0" applyFont="1" applyFill="1" applyBorder="1" applyAlignment="1">
      <alignment horizontal="center" wrapText="1"/>
    </xf>
    <xf numFmtId="0" fontId="6" fillId="0" borderId="19" xfId="0" applyFont="1" applyBorder="1" applyAlignment="1"/>
    <xf numFmtId="0" fontId="3" fillId="6"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9" fillId="0" borderId="7" xfId="0" applyFont="1" applyFill="1" applyBorder="1" applyAlignment="1">
      <alignment vertical="center"/>
    </xf>
    <xf numFmtId="0" fontId="3" fillId="3" borderId="1" xfId="0" applyFont="1" applyFill="1" applyBorder="1" applyAlignment="1">
      <alignment horizontal="left"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Fill="1" applyBorder="1" applyAlignment="1">
      <alignment vertical="center"/>
    </xf>
    <xf numFmtId="0" fontId="8" fillId="0" borderId="7" xfId="0" applyFont="1" applyFill="1" applyBorder="1" applyAlignment="1">
      <alignment vertical="center"/>
    </xf>
    <xf numFmtId="0" fontId="8" fillId="0" borderId="6" xfId="0" applyFont="1" applyFill="1" applyBorder="1" applyAlignment="1">
      <alignment vertical="center"/>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3" fillId="10" borderId="1" xfId="0" applyFont="1" applyFill="1" applyBorder="1" applyAlignment="1">
      <alignment horizontal="left" vertical="center" wrapText="1"/>
    </xf>
  </cellXfs>
  <cellStyles count="3">
    <cellStyle name="Euro"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6"/>
  <sheetViews>
    <sheetView tabSelected="1" zoomScale="84" zoomScaleNormal="84" workbookViewId="0">
      <pane ySplit="3" topLeftCell="A4" activePane="bottomLeft" state="frozen"/>
      <selection pane="bottomLeft" activeCell="I280" sqref="I280"/>
    </sheetView>
  </sheetViews>
  <sheetFormatPr defaultRowHeight="12.75" x14ac:dyDescent="0.2"/>
  <cols>
    <col min="1" max="1" width="4.7109375" customWidth="1"/>
    <col min="2" max="3" width="10.85546875" customWidth="1"/>
    <col min="4" max="4" width="14" customWidth="1"/>
    <col min="5" max="5" width="14.85546875" customWidth="1"/>
    <col min="6" max="6" width="17" customWidth="1"/>
    <col min="7" max="7" width="24.5703125" customWidth="1"/>
    <col min="8" max="8" width="22.7109375" customWidth="1"/>
    <col min="9" max="9" width="21.7109375" customWidth="1"/>
    <col min="10" max="10" width="17.7109375" customWidth="1"/>
    <col min="11" max="11" width="16.85546875" customWidth="1"/>
    <col min="12" max="12" width="18" customWidth="1"/>
    <col min="13" max="13" width="15.140625" customWidth="1"/>
    <col min="14" max="14" width="14.28515625" customWidth="1"/>
    <col min="15" max="15" width="22.42578125" customWidth="1"/>
    <col min="16" max="16" width="10.85546875" customWidth="1"/>
    <col min="17" max="17" width="12.5703125" customWidth="1"/>
    <col min="18" max="19" width="36.42578125" customWidth="1"/>
  </cols>
  <sheetData>
    <row r="1" spans="1:18" ht="27" customHeight="1" thickBot="1" x14ac:dyDescent="0.25">
      <c r="A1" s="276" t="s">
        <v>36</v>
      </c>
      <c r="B1" s="277"/>
      <c r="C1" s="277"/>
      <c r="D1" s="277"/>
      <c r="E1" s="277"/>
      <c r="F1" s="277"/>
      <c r="G1" s="277"/>
      <c r="H1" s="277"/>
      <c r="I1" s="277"/>
      <c r="J1" s="277"/>
      <c r="K1" s="277"/>
      <c r="L1" s="277"/>
      <c r="M1" s="277"/>
      <c r="N1" s="277"/>
      <c r="O1" s="277"/>
      <c r="P1" s="278"/>
      <c r="Q1" s="278"/>
      <c r="R1" s="278"/>
    </row>
    <row r="2" spans="1:18" ht="27" customHeight="1" thickBot="1" x14ac:dyDescent="0.25">
      <c r="A2" s="266" t="s">
        <v>106</v>
      </c>
      <c r="B2" s="266" t="s">
        <v>13</v>
      </c>
      <c r="C2" s="266" t="s">
        <v>0</v>
      </c>
      <c r="D2" s="287" t="s">
        <v>3</v>
      </c>
      <c r="E2" s="287"/>
      <c r="F2" s="298" t="s">
        <v>107</v>
      </c>
      <c r="G2" s="273" t="s">
        <v>125</v>
      </c>
      <c r="H2" s="273" t="s">
        <v>108</v>
      </c>
      <c r="I2" s="280" t="s">
        <v>109</v>
      </c>
      <c r="J2" s="280" t="s">
        <v>15</v>
      </c>
      <c r="K2" s="281" t="s">
        <v>110</v>
      </c>
      <c r="L2" s="281" t="s">
        <v>19</v>
      </c>
      <c r="M2" s="266" t="s">
        <v>14</v>
      </c>
      <c r="N2" s="266" t="s">
        <v>111</v>
      </c>
      <c r="O2" s="297" t="s">
        <v>16</v>
      </c>
      <c r="P2" s="279" t="s">
        <v>20</v>
      </c>
      <c r="Q2" s="279" t="s">
        <v>17</v>
      </c>
      <c r="R2" s="282" t="s">
        <v>18</v>
      </c>
    </row>
    <row r="3" spans="1:18" ht="126" customHeight="1" thickBot="1" x14ac:dyDescent="0.25">
      <c r="A3" s="266"/>
      <c r="B3" s="266"/>
      <c r="C3" s="266"/>
      <c r="D3" s="173" t="s">
        <v>1</v>
      </c>
      <c r="E3" s="174" t="s">
        <v>12</v>
      </c>
      <c r="F3" s="298"/>
      <c r="G3" s="273"/>
      <c r="H3" s="273"/>
      <c r="I3" s="280"/>
      <c r="J3" s="280"/>
      <c r="K3" s="281"/>
      <c r="L3" s="281"/>
      <c r="M3" s="266"/>
      <c r="N3" s="266"/>
      <c r="O3" s="297"/>
      <c r="P3" s="279"/>
      <c r="Q3" s="279"/>
      <c r="R3" s="282"/>
    </row>
    <row r="4" spans="1:18" ht="21.75" customHeight="1" thickBot="1" x14ac:dyDescent="0.3">
      <c r="A4" s="291">
        <v>1</v>
      </c>
      <c r="B4" s="294" t="s">
        <v>22</v>
      </c>
      <c r="C4" s="288" t="s">
        <v>2</v>
      </c>
      <c r="D4" s="13" t="s">
        <v>4</v>
      </c>
      <c r="E4" s="14">
        <v>1913.5050000000001</v>
      </c>
      <c r="F4" s="15">
        <v>5.3769999999999998</v>
      </c>
      <c r="G4" s="15">
        <v>10288.92</v>
      </c>
      <c r="H4" s="16">
        <v>5748</v>
      </c>
      <c r="I4" s="16">
        <f>E4*F4</f>
        <v>10288.916385</v>
      </c>
      <c r="J4" s="16">
        <f>E4*3</f>
        <v>5740.5150000000003</v>
      </c>
      <c r="K4" s="16">
        <f t="shared" ref="K4:L12" si="0">I4-G4</f>
        <v>-3.6149999996268889E-3</v>
      </c>
      <c r="L4" s="16">
        <f t="shared" si="0"/>
        <v>-7.4849999999996726</v>
      </c>
      <c r="M4" s="17"/>
      <c r="N4" s="17"/>
      <c r="O4" s="17"/>
      <c r="P4" s="18"/>
      <c r="Q4" s="19"/>
      <c r="R4" s="3"/>
    </row>
    <row r="5" spans="1:18" ht="18.75" customHeight="1" thickBot="1" x14ac:dyDescent="0.3">
      <c r="A5" s="292"/>
      <c r="B5" s="295"/>
      <c r="C5" s="289"/>
      <c r="D5" s="13" t="s">
        <v>5</v>
      </c>
      <c r="E5" s="14">
        <f>1823+E4</f>
        <v>3736.5050000000001</v>
      </c>
      <c r="F5" s="15">
        <v>5.38</v>
      </c>
      <c r="G5" s="15">
        <f>9807.94+G4</f>
        <v>20096.86</v>
      </c>
      <c r="H5" s="16">
        <f>16407.65+H4</f>
        <v>22155.65</v>
      </c>
      <c r="I5" s="16">
        <f>9807.74+I4</f>
        <v>20096.656385000002</v>
      </c>
      <c r="J5" s="16">
        <f>16407+J4</f>
        <v>22147.514999999999</v>
      </c>
      <c r="K5" s="16">
        <f t="shared" si="0"/>
        <v>-0.2036149999985355</v>
      </c>
      <c r="L5" s="16">
        <f t="shared" si="0"/>
        <v>-8.1350000000020373</v>
      </c>
      <c r="M5" s="17"/>
      <c r="N5" s="17"/>
      <c r="O5" s="17"/>
      <c r="P5" s="19"/>
      <c r="Q5" s="19"/>
      <c r="R5" s="3"/>
    </row>
    <row r="6" spans="1:18" ht="19.5" customHeight="1" thickBot="1" x14ac:dyDescent="0.3">
      <c r="A6" s="292"/>
      <c r="B6" s="295"/>
      <c r="C6" s="289"/>
      <c r="D6" s="13" t="s">
        <v>6</v>
      </c>
      <c r="E6" s="14">
        <f>1663.6+E5</f>
        <v>5400.1049999999996</v>
      </c>
      <c r="F6" s="15">
        <v>5.38</v>
      </c>
      <c r="G6" s="15">
        <f>8950.2+G5</f>
        <v>29047.06</v>
      </c>
      <c r="H6" s="16">
        <f>24953.83+H5</f>
        <v>47109.48</v>
      </c>
      <c r="I6" s="16">
        <f>8950.17+I5</f>
        <v>29046.826385</v>
      </c>
      <c r="J6" s="16">
        <f>24954+J5</f>
        <v>47101.514999999999</v>
      </c>
      <c r="K6" s="16">
        <f t="shared" si="0"/>
        <v>-0.23361500000100932</v>
      </c>
      <c r="L6" s="16">
        <f t="shared" si="0"/>
        <v>-7.9650000000037835</v>
      </c>
      <c r="M6" s="17"/>
      <c r="N6" s="17"/>
      <c r="O6" s="17"/>
      <c r="P6" s="19"/>
      <c r="Q6" s="19"/>
      <c r="R6" s="3"/>
    </row>
    <row r="7" spans="1:18" ht="17.25" customHeight="1" thickBot="1" x14ac:dyDescent="0.3">
      <c r="A7" s="292"/>
      <c r="B7" s="295"/>
      <c r="C7" s="289"/>
      <c r="D7" s="13" t="s">
        <v>7</v>
      </c>
      <c r="E7" s="14">
        <f>1753.83+E6</f>
        <v>7153.9349999999995</v>
      </c>
      <c r="F7" s="15">
        <v>5.38</v>
      </c>
      <c r="G7" s="15">
        <f>9435.56+G6</f>
        <v>38482.620000000003</v>
      </c>
      <c r="H7" s="16">
        <f>38584.19+H6</f>
        <v>85693.670000000013</v>
      </c>
      <c r="I7" s="16">
        <f>9435.59+I6</f>
        <v>38482.416385000004</v>
      </c>
      <c r="J7" s="16">
        <f>38584.19+J6</f>
        <v>85685.705000000002</v>
      </c>
      <c r="K7" s="16">
        <f t="shared" si="0"/>
        <v>-0.2036149999985355</v>
      </c>
      <c r="L7" s="16">
        <f t="shared" si="0"/>
        <v>-7.9650000000110595</v>
      </c>
      <c r="M7" s="17"/>
      <c r="N7" s="17"/>
      <c r="O7" s="17"/>
      <c r="P7" s="19"/>
      <c r="Q7" s="19"/>
      <c r="R7" s="3"/>
    </row>
    <row r="8" spans="1:18" ht="21" customHeight="1" thickBot="1" x14ac:dyDescent="0.3">
      <c r="A8" s="292"/>
      <c r="B8" s="295"/>
      <c r="C8" s="289"/>
      <c r="D8" s="13" t="s">
        <v>8</v>
      </c>
      <c r="E8" s="14">
        <f>1721.288+E7</f>
        <v>8875.223</v>
      </c>
      <c r="F8" s="15">
        <v>5.38</v>
      </c>
      <c r="G8" s="15">
        <f>9260.53+G7</f>
        <v>47743.15</v>
      </c>
      <c r="H8" s="16">
        <f>48196.06+H7</f>
        <v>133889.73000000001</v>
      </c>
      <c r="I8" s="16">
        <f>9260.53+I7</f>
        <v>47742.946385000003</v>
      </c>
      <c r="J8" s="16">
        <f>48196.06+J7</f>
        <v>133881.76500000001</v>
      </c>
      <c r="K8" s="16">
        <f t="shared" si="0"/>
        <v>-0.2036149999985355</v>
      </c>
      <c r="L8" s="16">
        <f t="shared" si="0"/>
        <v>-7.9649999999965075</v>
      </c>
      <c r="M8" s="17"/>
      <c r="N8" s="17"/>
      <c r="O8" s="17"/>
      <c r="P8" s="19"/>
      <c r="Q8" s="19"/>
      <c r="R8" s="3"/>
    </row>
    <row r="9" spans="1:18" ht="67.5" customHeight="1" thickBot="1" x14ac:dyDescent="0.3">
      <c r="A9" s="292"/>
      <c r="B9" s="295"/>
      <c r="C9" s="289"/>
      <c r="D9" s="13" t="s">
        <v>21</v>
      </c>
      <c r="E9" s="20">
        <f>2010.32+E8</f>
        <v>10885.543</v>
      </c>
      <c r="F9" s="16">
        <v>5.38</v>
      </c>
      <c r="G9" s="16">
        <f>10815.54+G8</f>
        <v>58558.69</v>
      </c>
      <c r="H9" s="16">
        <f>72371.52+H8</f>
        <v>206261.25</v>
      </c>
      <c r="I9" s="16">
        <f>10815.52+I8</f>
        <v>58558.466385000007</v>
      </c>
      <c r="J9" s="16">
        <f>72371.52+J8</f>
        <v>206253.28500000003</v>
      </c>
      <c r="K9" s="16">
        <f t="shared" si="0"/>
        <v>-0.22361499999533407</v>
      </c>
      <c r="L9" s="16">
        <f t="shared" si="0"/>
        <v>-7.9649999999674037</v>
      </c>
      <c r="M9" s="21"/>
      <c r="N9" s="21"/>
      <c r="O9" s="22" t="s">
        <v>40</v>
      </c>
      <c r="P9" s="19"/>
      <c r="Q9" s="19"/>
      <c r="R9" s="3"/>
    </row>
    <row r="10" spans="1:18" ht="74.25" customHeight="1" thickBot="1" x14ac:dyDescent="0.3">
      <c r="A10" s="292"/>
      <c r="B10" s="295"/>
      <c r="C10" s="289"/>
      <c r="D10" s="13" t="s">
        <v>65</v>
      </c>
      <c r="E10" s="20">
        <f>1265.46+E9</f>
        <v>12151.003000000001</v>
      </c>
      <c r="F10" s="16">
        <v>5.38</v>
      </c>
      <c r="G10" s="16">
        <f>6808.18+G9</f>
        <v>65366.87</v>
      </c>
      <c r="H10" s="16">
        <f>3298+14134+33186.4+H9</f>
        <v>256879.65</v>
      </c>
      <c r="I10" s="16">
        <f>6808.17+I9</f>
        <v>65366.636385000005</v>
      </c>
      <c r="J10" s="16">
        <f>50618.4+J9</f>
        <v>256871.68500000003</v>
      </c>
      <c r="K10" s="16">
        <f>I10-G10</f>
        <v>-0.23361499999737134</v>
      </c>
      <c r="L10" s="16">
        <f>J10-H10</f>
        <v>-7.9649999999674037</v>
      </c>
      <c r="M10" s="21"/>
      <c r="N10" s="21"/>
      <c r="O10" s="23" t="s">
        <v>89</v>
      </c>
      <c r="P10" s="19"/>
      <c r="Q10" s="19"/>
      <c r="R10" s="3"/>
    </row>
    <row r="11" spans="1:18" s="9" customFormat="1" ht="72" customHeight="1" thickBot="1" x14ac:dyDescent="0.3">
      <c r="A11" s="292"/>
      <c r="B11" s="295"/>
      <c r="C11" s="290"/>
      <c r="D11" s="13" t="s">
        <v>39</v>
      </c>
      <c r="E11" s="24">
        <f>224.75+202.41+222.6+254.5+E10</f>
        <v>13055.263000000001</v>
      </c>
      <c r="F11" s="16">
        <v>5.38</v>
      </c>
      <c r="G11" s="16">
        <f>4864.88+G10</f>
        <v>70231.75</v>
      </c>
      <c r="H11" s="16">
        <f>3352.5+3973.5+6120.4+9733.5+H10-2834.08</f>
        <v>277225.46999999997</v>
      </c>
      <c r="I11" s="29">
        <f>4864.91+I10</f>
        <v>70231.546385000009</v>
      </c>
      <c r="J11" s="29">
        <f>(10113.75+9108.41+10017+11452.5)/2+J10</f>
        <v>277217.51500000001</v>
      </c>
      <c r="K11" s="29">
        <f t="shared" si="0"/>
        <v>-0.20361499999125954</v>
      </c>
      <c r="L11" s="29">
        <f t="shared" ref="L11:L18" si="1">J11-H11</f>
        <v>-7.9549999999580905</v>
      </c>
      <c r="M11" s="25"/>
      <c r="N11" s="131"/>
      <c r="O11" s="26" t="s">
        <v>115</v>
      </c>
      <c r="P11" s="27"/>
      <c r="Q11" s="27"/>
      <c r="R11" s="8"/>
    </row>
    <row r="12" spans="1:18" s="9" customFormat="1" ht="61.5" customHeight="1" thickBot="1" x14ac:dyDescent="0.3">
      <c r="A12" s="292"/>
      <c r="B12" s="295"/>
      <c r="C12" s="28" t="s">
        <v>35</v>
      </c>
      <c r="D12" s="13" t="s">
        <v>39</v>
      </c>
      <c r="E12" s="20">
        <f>101.85+49.06+53.5+74.9</f>
        <v>279.31</v>
      </c>
      <c r="F12" s="16">
        <v>5.38</v>
      </c>
      <c r="G12" s="16">
        <f>1502.71</f>
        <v>1502.71</v>
      </c>
      <c r="H12" s="29">
        <f>6979.95-695.47</f>
        <v>6284.48</v>
      </c>
      <c r="I12" s="29">
        <f>E12*5.38</f>
        <v>1502.6877999999999</v>
      </c>
      <c r="J12" s="29">
        <f>12568.95/2</f>
        <v>6284.4750000000004</v>
      </c>
      <c r="K12" s="29">
        <f t="shared" si="0"/>
        <v>-2.2200000000111686E-2</v>
      </c>
      <c r="L12" s="29">
        <f t="shared" si="1"/>
        <v>-4.9999999991996447E-3</v>
      </c>
      <c r="M12" s="25"/>
      <c r="N12" s="25"/>
      <c r="O12" s="30"/>
      <c r="P12" s="27"/>
      <c r="Q12" s="27"/>
      <c r="R12" s="8"/>
    </row>
    <row r="13" spans="1:18" s="9" customFormat="1" ht="55.5" customHeight="1" thickBot="1" x14ac:dyDescent="0.3">
      <c r="A13" s="292"/>
      <c r="B13" s="295"/>
      <c r="C13" s="28" t="s">
        <v>2</v>
      </c>
      <c r="D13" s="110" t="s">
        <v>66</v>
      </c>
      <c r="E13" s="20">
        <f>1152.8+E11</f>
        <v>14208.063</v>
      </c>
      <c r="F13" s="16">
        <v>5.38</v>
      </c>
      <c r="G13" s="29">
        <f>6202.06+G11</f>
        <v>76433.81</v>
      </c>
      <c r="H13" s="29">
        <f>65709.6+H11</f>
        <v>342935.06999999995</v>
      </c>
      <c r="I13" s="29">
        <f>6202.06+I11</f>
        <v>76433.606385000006</v>
      </c>
      <c r="J13" s="29">
        <f>65709.6+J11</f>
        <v>342927.11499999999</v>
      </c>
      <c r="K13" s="29">
        <f t="shared" ref="K13:K18" si="2">I13-G13</f>
        <v>-0.20361499999125954</v>
      </c>
      <c r="L13" s="29">
        <f t="shared" si="1"/>
        <v>-7.9549999999580905</v>
      </c>
      <c r="M13" s="25"/>
      <c r="N13" s="25"/>
      <c r="O13" s="22" t="s">
        <v>41</v>
      </c>
      <c r="P13" s="27"/>
      <c r="Q13" s="27"/>
      <c r="R13" s="8"/>
    </row>
    <row r="14" spans="1:18" s="9" customFormat="1" ht="24.75" customHeight="1" thickBot="1" x14ac:dyDescent="0.3">
      <c r="A14" s="292"/>
      <c r="B14" s="295"/>
      <c r="C14" s="40" t="s">
        <v>35</v>
      </c>
      <c r="D14" s="110" t="s">
        <v>66</v>
      </c>
      <c r="E14" s="20">
        <f>228.4+E12</f>
        <v>507.71000000000004</v>
      </c>
      <c r="F14" s="16">
        <v>5.38</v>
      </c>
      <c r="G14" s="16">
        <f>1228.8+G12</f>
        <v>2731.51</v>
      </c>
      <c r="H14" s="29">
        <f>13018.8+H12</f>
        <v>19303.28</v>
      </c>
      <c r="I14" s="29">
        <f>1228.79+I12</f>
        <v>2731.4777999999997</v>
      </c>
      <c r="J14" s="29">
        <f>13018.8+J12</f>
        <v>19303.275000000001</v>
      </c>
      <c r="K14" s="16">
        <f t="shared" si="2"/>
        <v>-3.2200000000557338E-2</v>
      </c>
      <c r="L14" s="29">
        <f t="shared" si="1"/>
        <v>-4.9999999973806553E-3</v>
      </c>
      <c r="M14" s="25"/>
      <c r="N14" s="25"/>
      <c r="O14" s="30"/>
      <c r="P14" s="27"/>
      <c r="Q14" s="27"/>
      <c r="R14" s="8"/>
    </row>
    <row r="15" spans="1:18" s="9" customFormat="1" ht="61.5" customHeight="1" thickBot="1" x14ac:dyDescent="0.3">
      <c r="A15" s="292"/>
      <c r="B15" s="295"/>
      <c r="C15" s="28" t="s">
        <v>2</v>
      </c>
      <c r="D15" s="110" t="s">
        <v>78</v>
      </c>
      <c r="E15" s="24">
        <f>E13+688.42</f>
        <v>14896.483</v>
      </c>
      <c r="F15" s="29">
        <v>5.38</v>
      </c>
      <c r="G15" s="29">
        <f>G13+658.51</f>
        <v>77092.319999999992</v>
      </c>
      <c r="H15" s="29">
        <f>H13+11628-5814</f>
        <v>348749.06999999995</v>
      </c>
      <c r="I15" s="29">
        <f>I13+3703.7-3045.19</f>
        <v>77092.116385000001</v>
      </c>
      <c r="J15" s="29">
        <f>J13+52167.98-40539.98-5814</f>
        <v>348741.11499999999</v>
      </c>
      <c r="K15" s="29">
        <f t="shared" si="2"/>
        <v>-0.20361499999125954</v>
      </c>
      <c r="L15" s="29">
        <f t="shared" si="1"/>
        <v>-7.9549999999580905</v>
      </c>
      <c r="M15" s="25"/>
      <c r="N15" s="25"/>
      <c r="O15" s="131" t="s">
        <v>94</v>
      </c>
      <c r="P15" s="27"/>
      <c r="Q15" s="27"/>
      <c r="R15" s="8"/>
    </row>
    <row r="16" spans="1:18" s="9" customFormat="1" ht="61.5" customHeight="1" thickBot="1" x14ac:dyDescent="0.3">
      <c r="A16" s="292"/>
      <c r="B16" s="295"/>
      <c r="C16" s="40" t="s">
        <v>35</v>
      </c>
      <c r="D16" s="110" t="s">
        <v>78</v>
      </c>
      <c r="E16" s="24">
        <f>E14+381.6</f>
        <v>889.31000000000006</v>
      </c>
      <c r="F16" s="29">
        <v>5.38</v>
      </c>
      <c r="G16" s="29">
        <f>G14+305.59</f>
        <v>3037.1000000000004</v>
      </c>
      <c r="H16" s="29">
        <f>H14+5396</f>
        <v>24699.279999999999</v>
      </c>
      <c r="I16" s="29">
        <f>I14+2053.01-1747.42</f>
        <v>3037.0677999999998</v>
      </c>
      <c r="J16" s="29">
        <f>J14+28661.3-23265.3</f>
        <v>24699.274999999998</v>
      </c>
      <c r="K16" s="29">
        <f t="shared" si="2"/>
        <v>-3.2200000000557338E-2</v>
      </c>
      <c r="L16" s="29">
        <f t="shared" si="1"/>
        <v>-5.0000000010186341E-3</v>
      </c>
      <c r="M16" s="25"/>
      <c r="N16" s="25"/>
      <c r="O16" s="23" t="s">
        <v>71</v>
      </c>
      <c r="P16" s="27"/>
      <c r="Q16" s="27"/>
      <c r="R16" s="8"/>
    </row>
    <row r="17" spans="1:18" s="9" customFormat="1" ht="30" customHeight="1" thickBot="1" x14ac:dyDescent="0.3">
      <c r="A17" s="292"/>
      <c r="B17" s="295"/>
      <c r="C17" s="28" t="s">
        <v>2</v>
      </c>
      <c r="D17" s="110" t="s">
        <v>81</v>
      </c>
      <c r="E17" s="24">
        <f>SUM(E15)+883.7</f>
        <v>15780.183000000001</v>
      </c>
      <c r="F17" s="29">
        <v>5.38</v>
      </c>
      <c r="G17" s="29">
        <f>G15+590.89</f>
        <v>77683.209999999992</v>
      </c>
      <c r="H17" s="16">
        <f>H15+27146.3</f>
        <v>375895.36999999994</v>
      </c>
      <c r="I17" s="29">
        <f>I15+4754.31-4163.42</f>
        <v>77683.006385000001</v>
      </c>
      <c r="J17" s="29">
        <f>J15+72463.4-45317.1</f>
        <v>375887.41500000004</v>
      </c>
      <c r="K17" s="29">
        <f t="shared" si="2"/>
        <v>-0.20361499999125954</v>
      </c>
      <c r="L17" s="16">
        <f t="shared" si="1"/>
        <v>-7.9549999998998828</v>
      </c>
      <c r="M17" s="25"/>
      <c r="N17" s="25"/>
      <c r="O17" s="138"/>
      <c r="P17" s="27"/>
      <c r="Q17" s="27"/>
      <c r="R17" s="130"/>
    </row>
    <row r="18" spans="1:18" s="9" customFormat="1" ht="33.75" customHeight="1" thickBot="1" x14ac:dyDescent="0.3">
      <c r="A18" s="292"/>
      <c r="B18" s="295"/>
      <c r="C18" s="40" t="s">
        <v>35</v>
      </c>
      <c r="D18" s="110" t="s">
        <v>81</v>
      </c>
      <c r="E18" s="24">
        <f>SUM(E16)+264.05</f>
        <v>1153.3600000000001</v>
      </c>
      <c r="F18" s="29">
        <v>5.38</v>
      </c>
      <c r="G18" s="29">
        <f>G16+184.01</f>
        <v>3221.1100000000006</v>
      </c>
      <c r="H18" s="16">
        <f>H16+21652.1</f>
        <v>46351.38</v>
      </c>
      <c r="I18" s="29">
        <f>I16+1420.59-1236.58</f>
        <v>3221.0778</v>
      </c>
      <c r="J18" s="29">
        <f>J16+21652.1</f>
        <v>46351.375</v>
      </c>
      <c r="K18" s="29">
        <f t="shared" si="2"/>
        <v>-3.2200000000557338E-2</v>
      </c>
      <c r="L18" s="16">
        <f t="shared" si="1"/>
        <v>-4.9999999973806553E-3</v>
      </c>
      <c r="M18" s="25"/>
      <c r="N18" s="25"/>
      <c r="O18" s="138"/>
      <c r="P18" s="27"/>
      <c r="Q18" s="27"/>
      <c r="R18" s="130"/>
    </row>
    <row r="19" spans="1:18" s="9" customFormat="1" ht="61.5" customHeight="1" thickBot="1" x14ac:dyDescent="0.3">
      <c r="A19" s="292"/>
      <c r="B19" s="295"/>
      <c r="C19" s="28" t="s">
        <v>2</v>
      </c>
      <c r="D19" s="110" t="s">
        <v>98</v>
      </c>
      <c r="E19" s="24">
        <f>SUM(E17)+1041.1</f>
        <v>16821.282999999999</v>
      </c>
      <c r="F19" s="29">
        <v>5.38</v>
      </c>
      <c r="G19" s="29">
        <f>G17+0</f>
        <v>77683.209999999992</v>
      </c>
      <c r="H19" s="29">
        <f>H17+0</f>
        <v>375895.36999999994</v>
      </c>
      <c r="I19" s="29">
        <f>I17+5601.12-5601.12</f>
        <v>77683.006385000001</v>
      </c>
      <c r="J19" s="29">
        <f>J17+98904.5-98904.5</f>
        <v>375887.41500000004</v>
      </c>
      <c r="K19" s="29">
        <f t="shared" ref="K19:L24" si="3">I19-G19</f>
        <v>-0.20361499999125954</v>
      </c>
      <c r="L19" s="29">
        <f t="shared" si="3"/>
        <v>-7.9549999998998828</v>
      </c>
      <c r="M19" s="145"/>
      <c r="N19" s="25"/>
      <c r="O19" s="26" t="s">
        <v>83</v>
      </c>
      <c r="P19" s="27"/>
      <c r="Q19" s="27"/>
      <c r="R19" s="130"/>
    </row>
    <row r="20" spans="1:18" s="9" customFormat="1" ht="27.75" customHeight="1" thickBot="1" x14ac:dyDescent="0.3">
      <c r="A20" s="292"/>
      <c r="B20" s="295"/>
      <c r="C20" s="40" t="s">
        <v>35</v>
      </c>
      <c r="D20" s="110" t="s">
        <v>98</v>
      </c>
      <c r="E20" s="24">
        <f>SUM(E18)+219.9</f>
        <v>1373.2600000000002</v>
      </c>
      <c r="F20" s="29">
        <v>5.38</v>
      </c>
      <c r="G20" s="29">
        <f>G18+0</f>
        <v>3221.1100000000006</v>
      </c>
      <c r="H20" s="29">
        <f>H18+0</f>
        <v>46351.38</v>
      </c>
      <c r="I20" s="29">
        <f>I18+1183.06-1183.06</f>
        <v>3221.0778000000005</v>
      </c>
      <c r="J20" s="29">
        <f>J18+20890.5-20890.5</f>
        <v>46351.375</v>
      </c>
      <c r="K20" s="29">
        <f t="shared" si="3"/>
        <v>-3.2200000000102591E-2</v>
      </c>
      <c r="L20" s="29">
        <f t="shared" si="3"/>
        <v>-4.9999999973806553E-3</v>
      </c>
      <c r="M20" s="145"/>
      <c r="N20" s="25"/>
      <c r="O20" s="138"/>
      <c r="P20" s="27"/>
      <c r="Q20" s="27"/>
      <c r="R20" s="130"/>
    </row>
    <row r="21" spans="1:18" s="9" customFormat="1" ht="77.25" customHeight="1" thickBot="1" x14ac:dyDescent="0.3">
      <c r="A21" s="292"/>
      <c r="B21" s="295"/>
      <c r="C21" s="28" t="s">
        <v>2</v>
      </c>
      <c r="D21" s="110" t="s">
        <v>99</v>
      </c>
      <c r="E21" s="24">
        <f>SUM(E19)+928.15</f>
        <v>17749.433000000001</v>
      </c>
      <c r="F21" s="29">
        <v>5.38</v>
      </c>
      <c r="G21" s="29">
        <f>G19+4993.43</f>
        <v>82676.639999999985</v>
      </c>
      <c r="H21" s="29">
        <f>H19+88174.25</f>
        <v>464069.61999999994</v>
      </c>
      <c r="I21" s="29">
        <f>I19+4993.44</f>
        <v>82676.446385000003</v>
      </c>
      <c r="J21" s="29">
        <f>J19+88174.25</f>
        <v>464061.66500000004</v>
      </c>
      <c r="K21" s="29">
        <f t="shared" si="3"/>
        <v>-0.19361499998194631</v>
      </c>
      <c r="L21" s="29">
        <f t="shared" si="3"/>
        <v>-7.9549999998998828</v>
      </c>
      <c r="M21" s="145"/>
      <c r="N21" s="25"/>
      <c r="O21" s="138" t="s">
        <v>97</v>
      </c>
      <c r="P21" s="27"/>
      <c r="Q21" s="27"/>
      <c r="R21" s="130"/>
    </row>
    <row r="22" spans="1:18" s="9" customFormat="1" ht="27" customHeight="1" thickBot="1" x14ac:dyDescent="0.3">
      <c r="A22" s="292"/>
      <c r="B22" s="295"/>
      <c r="C22" s="40" t="s">
        <v>35</v>
      </c>
      <c r="D22" s="110" t="s">
        <v>99</v>
      </c>
      <c r="E22" s="24">
        <f>SUM(E20)+209.8</f>
        <v>1583.0600000000002</v>
      </c>
      <c r="F22" s="29">
        <v>5.38</v>
      </c>
      <c r="G22" s="29">
        <f>G20+1128.74</f>
        <v>4349.8500000000004</v>
      </c>
      <c r="H22" s="29">
        <f>H20+19931</f>
        <v>66282.38</v>
      </c>
      <c r="I22" s="29">
        <f>I20+1128.72</f>
        <v>4349.7978000000003</v>
      </c>
      <c r="J22" s="29">
        <f>J20+19931</f>
        <v>66282.375</v>
      </c>
      <c r="K22" s="29">
        <f t="shared" si="3"/>
        <v>-5.2200000000084401E-2</v>
      </c>
      <c r="L22" s="29">
        <v>0</v>
      </c>
      <c r="M22" s="145"/>
      <c r="N22" s="25"/>
      <c r="O22" s="138"/>
      <c r="P22" s="27"/>
      <c r="Q22" s="27"/>
      <c r="R22" s="130"/>
    </row>
    <row r="23" spans="1:18" s="9" customFormat="1" ht="30.75" customHeight="1" thickBot="1" x14ac:dyDescent="0.3">
      <c r="A23" s="292"/>
      <c r="B23" s="295"/>
      <c r="C23" s="28" t="s">
        <v>2</v>
      </c>
      <c r="D23" s="110" t="s">
        <v>103</v>
      </c>
      <c r="E23" s="24">
        <f>E21+1019.55</f>
        <v>18768.983</v>
      </c>
      <c r="F23" s="29">
        <v>5.38</v>
      </c>
      <c r="G23" s="29">
        <f>G21+5485.18</f>
        <v>88161.819999999978</v>
      </c>
      <c r="H23" s="29">
        <f>H21+12905.32</f>
        <v>476974.93999999994</v>
      </c>
      <c r="I23" s="29">
        <f>I21+5485.18</f>
        <v>88161.62638500001</v>
      </c>
      <c r="J23" s="29">
        <f>J21+96857.25</f>
        <v>560918.91500000004</v>
      </c>
      <c r="K23" s="29">
        <f t="shared" si="3"/>
        <v>-0.1936149999673944</v>
      </c>
      <c r="L23" s="29">
        <f t="shared" si="3"/>
        <v>83943.975000000093</v>
      </c>
      <c r="M23" s="145"/>
      <c r="N23" s="25"/>
      <c r="O23" s="138"/>
      <c r="P23" s="27"/>
      <c r="Q23" s="27"/>
      <c r="R23" s="130"/>
    </row>
    <row r="24" spans="1:18" s="9" customFormat="1" ht="27.75" customHeight="1" thickBot="1" x14ac:dyDescent="0.3">
      <c r="A24" s="292"/>
      <c r="B24" s="295"/>
      <c r="C24" s="40" t="s">
        <v>35</v>
      </c>
      <c r="D24" s="110" t="s">
        <v>103</v>
      </c>
      <c r="E24" s="24">
        <f>E22+135.4</f>
        <v>1718.4600000000003</v>
      </c>
      <c r="F24" s="29">
        <v>5.38</v>
      </c>
      <c r="G24" s="29">
        <f>G22+728.45</f>
        <v>5078.3</v>
      </c>
      <c r="H24" s="29">
        <f>H22+3719.25</f>
        <v>70001.63</v>
      </c>
      <c r="I24" s="29">
        <f>I22+728.45</f>
        <v>5078.2478000000001</v>
      </c>
      <c r="J24" s="29">
        <f>J22+12863</f>
        <v>79145.375</v>
      </c>
      <c r="K24" s="29">
        <f t="shared" si="3"/>
        <v>-5.2200000000084401E-2</v>
      </c>
      <c r="L24" s="29">
        <f t="shared" si="3"/>
        <v>9143.7449999999953</v>
      </c>
      <c r="M24" s="145"/>
      <c r="N24" s="25"/>
      <c r="O24" s="138"/>
      <c r="P24" s="27"/>
      <c r="Q24" s="27"/>
      <c r="R24" s="130"/>
    </row>
    <row r="25" spans="1:18" s="9" customFormat="1" ht="24.75" customHeight="1" thickBot="1" x14ac:dyDescent="0.3">
      <c r="A25" s="292"/>
      <c r="B25" s="295"/>
      <c r="C25" s="28" t="s">
        <v>2</v>
      </c>
      <c r="D25" s="146" t="s">
        <v>119</v>
      </c>
      <c r="E25" s="24">
        <f>E23+1038.2</f>
        <v>19807.183000000001</v>
      </c>
      <c r="F25" s="29">
        <v>5.38</v>
      </c>
      <c r="G25" s="29">
        <f>G23+0</f>
        <v>88161.819999999978</v>
      </c>
      <c r="H25" s="29">
        <f>H23+0</f>
        <v>476974.93999999994</v>
      </c>
      <c r="I25" s="29">
        <f>I23+5585.52</f>
        <v>93747.146385000015</v>
      </c>
      <c r="J25" s="29">
        <f>J23+98629</f>
        <v>659547.91500000004</v>
      </c>
      <c r="K25" s="29">
        <f t="shared" ref="K25:L30" si="4">I25-G25</f>
        <v>5585.3263850000367</v>
      </c>
      <c r="L25" s="29">
        <f t="shared" si="4"/>
        <v>182572.97500000009</v>
      </c>
      <c r="M25" s="145"/>
      <c r="N25" s="25"/>
      <c r="O25" s="138"/>
      <c r="P25" s="27"/>
      <c r="Q25" s="27"/>
      <c r="R25" s="130"/>
    </row>
    <row r="26" spans="1:18" s="9" customFormat="1" ht="29.25" customHeight="1" thickBot="1" x14ac:dyDescent="0.3">
      <c r="A26" s="292"/>
      <c r="B26" s="295"/>
      <c r="C26" s="40" t="s">
        <v>35</v>
      </c>
      <c r="D26" s="146" t="s">
        <v>119</v>
      </c>
      <c r="E26" s="24">
        <f>E24+50.5</f>
        <v>1768.9600000000003</v>
      </c>
      <c r="F26" s="29">
        <v>5.38</v>
      </c>
      <c r="G26" s="29">
        <f>G24+0</f>
        <v>5078.3</v>
      </c>
      <c r="H26" s="29">
        <f>H24+0</f>
        <v>70001.63</v>
      </c>
      <c r="I26" s="29">
        <f>I24+271.69</f>
        <v>5349.9377999999997</v>
      </c>
      <c r="J26" s="29">
        <f>J24+4797.5</f>
        <v>83942.875</v>
      </c>
      <c r="K26" s="29">
        <f t="shared" si="4"/>
        <v>271.63779999999952</v>
      </c>
      <c r="L26" s="29">
        <f t="shared" si="4"/>
        <v>13941.244999999995</v>
      </c>
      <c r="M26" s="145"/>
      <c r="N26" s="25"/>
      <c r="O26" s="138"/>
      <c r="P26" s="27"/>
      <c r="Q26" s="27"/>
      <c r="R26" s="130"/>
    </row>
    <row r="27" spans="1:18" s="9" customFormat="1" ht="27.75" customHeight="1" thickBot="1" x14ac:dyDescent="0.3">
      <c r="A27" s="292"/>
      <c r="B27" s="295"/>
      <c r="C27" s="223" t="s">
        <v>2</v>
      </c>
      <c r="D27" s="146" t="s">
        <v>119</v>
      </c>
      <c r="E27" s="24">
        <f>E25</f>
        <v>19807.183000000001</v>
      </c>
      <c r="F27" s="274" t="s">
        <v>121</v>
      </c>
      <c r="G27" s="189">
        <f t="shared" ref="G27:J28" si="5">G25/1.95583</f>
        <v>45076.422797482388</v>
      </c>
      <c r="H27" s="189">
        <f t="shared" si="5"/>
        <v>243873.41435605343</v>
      </c>
      <c r="I27" s="189">
        <f t="shared" si="5"/>
        <v>47932.154831963933</v>
      </c>
      <c r="J27" s="189">
        <f t="shared" si="5"/>
        <v>337221.49419939361</v>
      </c>
      <c r="K27" s="189">
        <f t="shared" si="4"/>
        <v>2855.7320344815453</v>
      </c>
      <c r="L27" s="189">
        <f t="shared" si="4"/>
        <v>93348.07984334018</v>
      </c>
      <c r="M27" s="145"/>
      <c r="N27" s="25"/>
      <c r="O27" s="138"/>
      <c r="P27" s="27"/>
      <c r="Q27" s="27"/>
      <c r="R27" s="130"/>
    </row>
    <row r="28" spans="1:18" s="9" customFormat="1" ht="27.75" customHeight="1" thickBot="1" x14ac:dyDescent="0.3">
      <c r="A28" s="292"/>
      <c r="B28" s="295"/>
      <c r="C28" s="154" t="s">
        <v>35</v>
      </c>
      <c r="D28" s="146" t="s">
        <v>119</v>
      </c>
      <c r="E28" s="24">
        <f>E26</f>
        <v>1768.9600000000003</v>
      </c>
      <c r="F28" s="275"/>
      <c r="G28" s="189">
        <f t="shared" si="5"/>
        <v>2596.4935602787564</v>
      </c>
      <c r="H28" s="189">
        <f t="shared" si="5"/>
        <v>35791.265089501649</v>
      </c>
      <c r="I28" s="189">
        <f t="shared" si="5"/>
        <v>2735.3797620447585</v>
      </c>
      <c r="J28" s="189">
        <f t="shared" si="5"/>
        <v>42919.310471769022</v>
      </c>
      <c r="K28" s="189">
        <f t="shared" si="4"/>
        <v>138.88620176600216</v>
      </c>
      <c r="L28" s="189">
        <f t="shared" si="4"/>
        <v>7128.0453822673735</v>
      </c>
      <c r="M28" s="145"/>
      <c r="N28" s="25"/>
      <c r="O28" s="138"/>
      <c r="P28" s="27"/>
      <c r="Q28" s="27"/>
      <c r="R28" s="130"/>
    </row>
    <row r="29" spans="1:18" s="9" customFormat="1" ht="27.75" customHeight="1" thickBot="1" x14ac:dyDescent="0.3">
      <c r="A29" s="292"/>
      <c r="B29" s="295"/>
      <c r="C29" s="192" t="s">
        <v>2</v>
      </c>
      <c r="D29" s="187" t="s">
        <v>124</v>
      </c>
      <c r="E29" s="24">
        <f>E27+484.6</f>
        <v>20291.782999999999</v>
      </c>
      <c r="F29" s="189">
        <v>3.07</v>
      </c>
      <c r="G29" s="189">
        <f>SUM(G27)+1487.72</f>
        <v>46564.142797482389</v>
      </c>
      <c r="H29" s="189">
        <f>SUM(H27)+0</f>
        <v>243873.41435605343</v>
      </c>
      <c r="I29" s="189">
        <f>SUM(I27)+1487.72</f>
        <v>49419.874831963934</v>
      </c>
      <c r="J29" s="189">
        <f>SUM(J27)+23537.02</f>
        <v>360758.51419939363</v>
      </c>
      <c r="K29" s="189">
        <f t="shared" si="4"/>
        <v>2855.7320344815453</v>
      </c>
      <c r="L29" s="189">
        <f t="shared" si="4"/>
        <v>116885.0998433402</v>
      </c>
      <c r="M29" s="145"/>
      <c r="N29" s="25"/>
      <c r="O29" s="138"/>
      <c r="P29" s="27"/>
      <c r="Q29" s="27"/>
      <c r="R29" s="130"/>
    </row>
    <row r="30" spans="1:18" s="9" customFormat="1" ht="27.75" customHeight="1" thickBot="1" x14ac:dyDescent="0.3">
      <c r="A30" s="292"/>
      <c r="B30" s="295"/>
      <c r="C30" s="147" t="s">
        <v>35</v>
      </c>
      <c r="D30" s="187" t="s">
        <v>124</v>
      </c>
      <c r="E30" s="24">
        <f>E28+15.6</f>
        <v>1784.5600000000002</v>
      </c>
      <c r="F30" s="189">
        <v>3.07</v>
      </c>
      <c r="G30" s="189">
        <f>SUM(G28)+47.89</f>
        <v>2644.3835602787562</v>
      </c>
      <c r="H30" s="189">
        <f>SUM(H28)+0</f>
        <v>35791.265089501649</v>
      </c>
      <c r="I30" s="189">
        <f>SUM(I28)+47.89</f>
        <v>2783.2697620447584</v>
      </c>
      <c r="J30" s="189">
        <f>SUM(J28)+757.69</f>
        <v>43677.000471769024</v>
      </c>
      <c r="K30" s="189">
        <f t="shared" si="4"/>
        <v>138.88620176600216</v>
      </c>
      <c r="L30" s="189">
        <f t="shared" si="4"/>
        <v>7885.7353822673758</v>
      </c>
      <c r="M30" s="145"/>
      <c r="N30" s="25"/>
      <c r="O30" s="138"/>
      <c r="P30" s="27"/>
      <c r="Q30" s="27"/>
      <c r="R30" s="130"/>
    </row>
    <row r="31" spans="1:18" s="9" customFormat="1" ht="61.5" customHeight="1" thickBot="1" x14ac:dyDescent="0.3">
      <c r="A31" s="293"/>
      <c r="B31" s="296"/>
      <c r="C31" s="32" t="s">
        <v>72</v>
      </c>
      <c r="D31" s="31"/>
      <c r="E31" s="196">
        <f>SUM(E29:E30)</f>
        <v>22076.343000000001</v>
      </c>
      <c r="F31" s="144"/>
      <c r="G31" s="190">
        <f t="shared" ref="G31:L31" si="6">SUM(G29:G30)</f>
        <v>49208.526357761148</v>
      </c>
      <c r="H31" s="190">
        <f t="shared" si="6"/>
        <v>279664.67944555508</v>
      </c>
      <c r="I31" s="190">
        <f t="shared" si="6"/>
        <v>52203.144594008692</v>
      </c>
      <c r="J31" s="190">
        <f t="shared" si="6"/>
        <v>404435.51467116264</v>
      </c>
      <c r="K31" s="190">
        <f t="shared" si="6"/>
        <v>2994.6182362475474</v>
      </c>
      <c r="L31" s="190">
        <f t="shared" si="6"/>
        <v>124770.83522560757</v>
      </c>
      <c r="M31" s="144"/>
      <c r="N31" s="144"/>
      <c r="O31" s="234">
        <f>295068.92/1.95583</f>
        <v>150866.34318933651</v>
      </c>
      <c r="P31" s="27"/>
      <c r="Q31" s="27"/>
      <c r="R31" s="130"/>
    </row>
    <row r="32" spans="1:18" s="12" customFormat="1" ht="33" customHeight="1" thickBot="1" x14ac:dyDescent="0.3">
      <c r="A32" s="33"/>
      <c r="B32" s="34"/>
      <c r="C32" s="35"/>
      <c r="D32" s="36"/>
      <c r="E32" s="37"/>
      <c r="F32" s="37"/>
      <c r="G32" s="37"/>
      <c r="H32" s="37"/>
      <c r="I32" s="37"/>
      <c r="J32" s="37"/>
      <c r="K32" s="37"/>
      <c r="L32" s="37"/>
      <c r="M32" s="38"/>
      <c r="N32" s="38"/>
      <c r="O32" s="38"/>
      <c r="P32" s="39"/>
      <c r="Q32" s="39"/>
      <c r="R32" s="119"/>
    </row>
    <row r="33" spans="1:18" ht="13.5" customHeight="1" thickBot="1" x14ac:dyDescent="0.3">
      <c r="A33" s="270">
        <v>2</v>
      </c>
      <c r="B33" s="269" t="s">
        <v>31</v>
      </c>
      <c r="C33" s="261" t="s">
        <v>9</v>
      </c>
      <c r="D33" s="41" t="s">
        <v>4</v>
      </c>
      <c r="E33" s="42">
        <v>3044.3339999999998</v>
      </c>
      <c r="F33" s="16">
        <v>0</v>
      </c>
      <c r="G33" s="16">
        <v>0</v>
      </c>
      <c r="H33" s="16">
        <v>9133</v>
      </c>
      <c r="I33" s="16">
        <v>0</v>
      </c>
      <c r="J33" s="16">
        <v>9133</v>
      </c>
      <c r="K33" s="16">
        <f t="shared" ref="K33:L38" si="7">I33-G33</f>
        <v>0</v>
      </c>
      <c r="L33" s="16">
        <f t="shared" si="7"/>
        <v>0</v>
      </c>
      <c r="M33" s="43"/>
      <c r="N33" s="43"/>
      <c r="O33" s="44"/>
      <c r="P33" s="45"/>
      <c r="Q33" s="45"/>
      <c r="R33" s="283" t="s">
        <v>105</v>
      </c>
    </row>
    <row r="34" spans="1:18" ht="15.75" thickBot="1" x14ac:dyDescent="0.3">
      <c r="A34" s="271"/>
      <c r="B34" s="267"/>
      <c r="C34" s="261"/>
      <c r="D34" s="46" t="s">
        <v>5</v>
      </c>
      <c r="E34" s="42">
        <f>2991.017+E33</f>
        <v>6035.3509999999997</v>
      </c>
      <c r="F34" s="16">
        <v>0</v>
      </c>
      <c r="G34" s="16">
        <f>0+G33</f>
        <v>0</v>
      </c>
      <c r="H34" s="16">
        <f>26919.15+H33</f>
        <v>36052.15</v>
      </c>
      <c r="I34" s="16">
        <f>0+I33</f>
        <v>0</v>
      </c>
      <c r="J34" s="16">
        <f>26919.15+J33</f>
        <v>36052.15</v>
      </c>
      <c r="K34" s="16">
        <f t="shared" si="7"/>
        <v>0</v>
      </c>
      <c r="L34" s="16">
        <f t="shared" si="7"/>
        <v>0</v>
      </c>
      <c r="M34" s="43"/>
      <c r="N34" s="43"/>
      <c r="O34" s="44"/>
      <c r="P34" s="45"/>
      <c r="Q34" s="45"/>
      <c r="R34" s="284"/>
    </row>
    <row r="35" spans="1:18" ht="13.5" customHeight="1" thickBot="1" x14ac:dyDescent="0.3">
      <c r="A35" s="271"/>
      <c r="B35" s="267"/>
      <c r="C35" s="261"/>
      <c r="D35" s="47" t="s">
        <v>6</v>
      </c>
      <c r="E35" s="48">
        <f>2705.82+E34</f>
        <v>8741.1710000000003</v>
      </c>
      <c r="F35" s="15">
        <v>0</v>
      </c>
      <c r="G35" s="16">
        <f>0+G34</f>
        <v>0</v>
      </c>
      <c r="H35" s="16">
        <f>40587.33+H34</f>
        <v>76639.48000000001</v>
      </c>
      <c r="I35" s="16">
        <f>0+I34</f>
        <v>0</v>
      </c>
      <c r="J35" s="16">
        <f>40587.33+J34</f>
        <v>76639.48000000001</v>
      </c>
      <c r="K35" s="16">
        <f t="shared" si="7"/>
        <v>0</v>
      </c>
      <c r="L35" s="16">
        <f t="shared" si="7"/>
        <v>0</v>
      </c>
      <c r="M35" s="49"/>
      <c r="N35" s="44"/>
      <c r="O35" s="44"/>
      <c r="P35" s="45"/>
      <c r="Q35" s="45"/>
      <c r="R35" s="284"/>
    </row>
    <row r="36" spans="1:18" ht="15.75" thickBot="1" x14ac:dyDescent="0.3">
      <c r="A36" s="271"/>
      <c r="B36" s="267"/>
      <c r="C36" s="261"/>
      <c r="D36" s="13" t="s">
        <v>7</v>
      </c>
      <c r="E36" s="48">
        <f>2502.36+E35</f>
        <v>11243.531000000001</v>
      </c>
      <c r="F36" s="15">
        <v>0</v>
      </c>
      <c r="G36" s="29">
        <f>0+G35</f>
        <v>0</v>
      </c>
      <c r="H36" s="29">
        <f>55177.76+H35-125.84</f>
        <v>131691.40000000002</v>
      </c>
      <c r="I36" s="16">
        <f>0+I35</f>
        <v>0</v>
      </c>
      <c r="J36" s="16">
        <f>55051.92+J35</f>
        <v>131691.40000000002</v>
      </c>
      <c r="K36" s="16">
        <f t="shared" si="7"/>
        <v>0</v>
      </c>
      <c r="L36" s="16">
        <f t="shared" si="7"/>
        <v>0</v>
      </c>
      <c r="M36" s="49"/>
      <c r="N36" s="49"/>
      <c r="O36" s="44"/>
      <c r="P36" s="45"/>
      <c r="Q36" s="45"/>
      <c r="R36" s="284"/>
    </row>
    <row r="37" spans="1:18" ht="41.25" customHeight="1" thickBot="1" x14ac:dyDescent="0.3">
      <c r="A37" s="271"/>
      <c r="B37" s="267"/>
      <c r="C37" s="261"/>
      <c r="D37" s="50" t="s">
        <v>8</v>
      </c>
      <c r="E37" s="14">
        <f>2491.86+E36</f>
        <v>13735.391000000001</v>
      </c>
      <c r="F37" s="15">
        <v>6.29</v>
      </c>
      <c r="G37" s="29">
        <f>15674.63+G36-0.83</f>
        <v>15673.8</v>
      </c>
      <c r="H37" s="29">
        <f>69772.1+H36-0.02</f>
        <v>201463.48000000004</v>
      </c>
      <c r="I37" s="16">
        <f>15673.8+I36</f>
        <v>15673.8</v>
      </c>
      <c r="J37" s="16">
        <f>69772.08+J36</f>
        <v>201463.48000000004</v>
      </c>
      <c r="K37" s="16">
        <f t="shared" si="7"/>
        <v>0</v>
      </c>
      <c r="L37" s="16">
        <f t="shared" si="7"/>
        <v>0</v>
      </c>
      <c r="M37" s="49"/>
      <c r="N37" s="49"/>
      <c r="O37" s="22" t="s">
        <v>42</v>
      </c>
      <c r="P37" s="45"/>
      <c r="Q37" s="45"/>
      <c r="R37" s="284"/>
    </row>
    <row r="38" spans="1:18" ht="37.5" customHeight="1" thickBot="1" x14ac:dyDescent="0.3">
      <c r="A38" s="271"/>
      <c r="B38" s="267"/>
      <c r="C38" s="261"/>
      <c r="D38" s="51" t="s">
        <v>21</v>
      </c>
      <c r="E38" s="20">
        <f>2704.16+E37</f>
        <v>16439.550999999999</v>
      </c>
      <c r="F38" s="16">
        <v>6.29</v>
      </c>
      <c r="G38" s="29">
        <f>17009.19+G37</f>
        <v>32682.989999999998</v>
      </c>
      <c r="H38" s="29">
        <f>97349.76+H37</f>
        <v>298813.24000000005</v>
      </c>
      <c r="I38" s="16">
        <f>17009.17+I37</f>
        <v>32682.969999999998</v>
      </c>
      <c r="J38" s="16">
        <f>97349.76+J37</f>
        <v>298813.24000000005</v>
      </c>
      <c r="K38" s="16">
        <f t="shared" si="7"/>
        <v>-2.0000000000436557E-2</v>
      </c>
      <c r="L38" s="16">
        <f t="shared" si="7"/>
        <v>0</v>
      </c>
      <c r="M38" s="49"/>
      <c r="N38" s="49"/>
      <c r="O38" s="22" t="s">
        <v>43</v>
      </c>
      <c r="P38" s="45"/>
      <c r="Q38" s="45"/>
      <c r="R38" s="284"/>
    </row>
    <row r="39" spans="1:18" ht="37.5" customHeight="1" thickBot="1" x14ac:dyDescent="0.3">
      <c r="A39" s="271"/>
      <c r="B39" s="267"/>
      <c r="C39" s="40" t="s">
        <v>9</v>
      </c>
      <c r="D39" s="13" t="s">
        <v>65</v>
      </c>
      <c r="E39" s="20">
        <f>2871.15+E38</f>
        <v>19310.701000000001</v>
      </c>
      <c r="F39" s="16">
        <v>5.74</v>
      </c>
      <c r="G39" s="29">
        <f>16480.44+G38</f>
        <v>49163.429999999993</v>
      </c>
      <c r="H39" s="29">
        <f>114846.1+H38-0.1</f>
        <v>413659.24000000011</v>
      </c>
      <c r="I39" s="16">
        <f>16480.4+I38</f>
        <v>49163.369999999995</v>
      </c>
      <c r="J39" s="16">
        <f>114846+J38</f>
        <v>413659.24000000005</v>
      </c>
      <c r="K39" s="16">
        <f t="shared" ref="K39:K47" si="8">I39-G39</f>
        <v>-5.9999999997671694E-2</v>
      </c>
      <c r="L39" s="16">
        <f>J39-H39</f>
        <v>0</v>
      </c>
      <c r="M39" s="49"/>
      <c r="N39" s="49"/>
      <c r="O39" s="23" t="s">
        <v>44</v>
      </c>
      <c r="P39" s="45"/>
      <c r="Q39" s="45"/>
      <c r="R39" s="284"/>
    </row>
    <row r="40" spans="1:18" ht="37.5" customHeight="1" thickBot="1" x14ac:dyDescent="0.3">
      <c r="A40" s="271"/>
      <c r="B40" s="267"/>
      <c r="C40" s="40" t="s">
        <v>9</v>
      </c>
      <c r="D40" s="13" t="s">
        <v>39</v>
      </c>
      <c r="E40" s="20">
        <f>684.26+586+815.62+599.7+E39</f>
        <v>21996.281000000003</v>
      </c>
      <c r="F40" s="16">
        <v>5.74</v>
      </c>
      <c r="G40" s="29">
        <f>15415.23+G39</f>
        <v>64578.659999999989</v>
      </c>
      <c r="H40" s="29">
        <f>120851.1+H39</f>
        <v>534510.34000000008</v>
      </c>
      <c r="I40" s="16">
        <f>15415.23+I39</f>
        <v>64578.599999999991</v>
      </c>
      <c r="J40" s="16">
        <f>30791.7+26370+36702.9+26986.5+J39</f>
        <v>534510.34000000008</v>
      </c>
      <c r="K40" s="16">
        <f t="shared" si="8"/>
        <v>-5.9999999997671694E-2</v>
      </c>
      <c r="L40" s="16">
        <f t="shared" ref="L40:L47" si="9">J40-H40</f>
        <v>0</v>
      </c>
      <c r="M40" s="49"/>
      <c r="N40" s="49"/>
      <c r="O40" s="52"/>
      <c r="P40" s="45"/>
      <c r="Q40" s="45"/>
      <c r="R40" s="284"/>
    </row>
    <row r="41" spans="1:18" ht="37.5" customHeight="1" thickBot="1" x14ac:dyDescent="0.3">
      <c r="A41" s="271"/>
      <c r="B41" s="267"/>
      <c r="C41" s="40" t="s">
        <v>35</v>
      </c>
      <c r="D41" s="13" t="s">
        <v>39</v>
      </c>
      <c r="E41" s="20">
        <f>59.18+65.76+59.96+58.62</f>
        <v>243.52</v>
      </c>
      <c r="F41" s="16">
        <v>5.74</v>
      </c>
      <c r="G41" s="29">
        <v>1397.83</v>
      </c>
      <c r="H41" s="29">
        <v>10958.39</v>
      </c>
      <c r="I41" s="16">
        <f>341.65+131.1+244.41+344.16+336.48</f>
        <v>1397.8</v>
      </c>
      <c r="J41" s="16">
        <f>2678.4+2943.9+2698.2+2637.9</f>
        <v>10958.4</v>
      </c>
      <c r="K41" s="16">
        <f t="shared" si="8"/>
        <v>-2.9999999999972715E-2</v>
      </c>
      <c r="L41" s="16">
        <f t="shared" si="9"/>
        <v>1.0000000000218279E-2</v>
      </c>
      <c r="M41" s="49"/>
      <c r="N41" s="49"/>
      <c r="O41" s="52"/>
      <c r="P41" s="45"/>
      <c r="Q41" s="45"/>
      <c r="R41" s="284"/>
    </row>
    <row r="42" spans="1:18" s="9" customFormat="1" ht="37.5" customHeight="1" thickBot="1" x14ac:dyDescent="0.3">
      <c r="A42" s="271"/>
      <c r="B42" s="267"/>
      <c r="C42" s="40" t="s">
        <v>9</v>
      </c>
      <c r="D42" s="110" t="s">
        <v>66</v>
      </c>
      <c r="E42" s="20">
        <f>2674.06+E40</f>
        <v>24670.341000000004</v>
      </c>
      <c r="F42" s="16">
        <v>5.74</v>
      </c>
      <c r="G42" s="29">
        <f>15349.11+G40-0.01</f>
        <v>79927.759999999995</v>
      </c>
      <c r="H42" s="29">
        <f>152421.42+H40</f>
        <v>686931.76000000013</v>
      </c>
      <c r="I42" s="29">
        <f>15349.1+I40</f>
        <v>79927.7</v>
      </c>
      <c r="J42" s="29">
        <f>152421.42+J40</f>
        <v>686931.76000000013</v>
      </c>
      <c r="K42" s="29">
        <f t="shared" si="8"/>
        <v>-5.9999999997671694E-2</v>
      </c>
      <c r="L42" s="29">
        <f t="shared" si="9"/>
        <v>0</v>
      </c>
      <c r="M42" s="49"/>
      <c r="N42" s="49"/>
      <c r="O42" s="52"/>
      <c r="P42" s="44"/>
      <c r="Q42" s="44"/>
      <c r="R42" s="284"/>
    </row>
    <row r="43" spans="1:18" s="9" customFormat="1" ht="37.5" customHeight="1" thickBot="1" x14ac:dyDescent="0.3">
      <c r="A43" s="271"/>
      <c r="B43" s="267"/>
      <c r="C43" s="40" t="s">
        <v>35</v>
      </c>
      <c r="D43" s="110" t="s">
        <v>66</v>
      </c>
      <c r="E43" s="20">
        <f>273.98+E41</f>
        <v>517.5</v>
      </c>
      <c r="F43" s="16">
        <v>5.74</v>
      </c>
      <c r="G43" s="29">
        <f>1572.65+G41</f>
        <v>2970.48</v>
      </c>
      <c r="H43" s="29">
        <f>15616.87+H41</f>
        <v>26575.260000000002</v>
      </c>
      <c r="I43" s="29">
        <f>1572.65+I41</f>
        <v>2970.45</v>
      </c>
      <c r="J43" s="29">
        <f>15616.86+J41</f>
        <v>26575.260000000002</v>
      </c>
      <c r="K43" s="29">
        <f t="shared" si="8"/>
        <v>-3.0000000000200089E-2</v>
      </c>
      <c r="L43" s="29">
        <f t="shared" si="9"/>
        <v>0</v>
      </c>
      <c r="M43" s="49"/>
      <c r="N43" s="49"/>
      <c r="O43" s="52"/>
      <c r="P43" s="44"/>
      <c r="Q43" s="44"/>
      <c r="R43" s="284"/>
    </row>
    <row r="44" spans="1:18" s="9" customFormat="1" ht="37.5" customHeight="1" thickBot="1" x14ac:dyDescent="0.3">
      <c r="A44" s="271"/>
      <c r="B44" s="267"/>
      <c r="C44" s="40" t="s">
        <v>9</v>
      </c>
      <c r="D44" s="110" t="s">
        <v>78</v>
      </c>
      <c r="E44" s="24">
        <f>E42+2253.42</f>
        <v>26923.761000000006</v>
      </c>
      <c r="F44" s="29">
        <v>5.74</v>
      </c>
      <c r="G44" s="29">
        <f>G42+12933.65-10973.89</f>
        <v>81887.51999999999</v>
      </c>
      <c r="H44" s="29">
        <f>H42+168180.22-135745.32</f>
        <v>719366.66000000015</v>
      </c>
      <c r="I44" s="29">
        <f>I42+12934.63-10974.88</f>
        <v>81887.45</v>
      </c>
      <c r="J44" s="29">
        <f>J42+168180.22-135745.32</f>
        <v>719366.66000000015</v>
      </c>
      <c r="K44" s="29">
        <f t="shared" si="8"/>
        <v>-6.9999999992433004E-2</v>
      </c>
      <c r="L44" s="29">
        <f t="shared" si="9"/>
        <v>0</v>
      </c>
      <c r="M44" s="49"/>
      <c r="N44" s="49"/>
      <c r="O44" s="134"/>
      <c r="P44" s="44"/>
      <c r="Q44" s="44"/>
      <c r="R44" s="284"/>
    </row>
    <row r="45" spans="1:18" s="9" customFormat="1" ht="37.5" customHeight="1" thickBot="1" x14ac:dyDescent="0.3">
      <c r="A45" s="271"/>
      <c r="B45" s="267"/>
      <c r="C45" s="40" t="s">
        <v>35</v>
      </c>
      <c r="D45" s="110" t="s">
        <v>78</v>
      </c>
      <c r="E45" s="24">
        <f>E43+427.38</f>
        <v>944.88</v>
      </c>
      <c r="F45" s="29">
        <v>5.74</v>
      </c>
      <c r="G45" s="29">
        <f>G43+2404.28-1969.64</f>
        <v>3405.12</v>
      </c>
      <c r="H45" s="29">
        <f>H43+31176.82-24013.82+30.4</f>
        <v>33768.660000000003</v>
      </c>
      <c r="I45" s="29">
        <f>I43+2453.16-2018.53</f>
        <v>3405.08</v>
      </c>
      <c r="J45" s="29">
        <f>J43+32419.94-25226.54</f>
        <v>33768.659999999996</v>
      </c>
      <c r="K45" s="29">
        <f t="shared" si="8"/>
        <v>-3.999999999996362E-2</v>
      </c>
      <c r="L45" s="29">
        <f t="shared" si="9"/>
        <v>0</v>
      </c>
      <c r="M45" s="49"/>
      <c r="N45" s="49"/>
      <c r="O45" s="52"/>
      <c r="P45" s="44"/>
      <c r="Q45" s="44"/>
      <c r="R45" s="284"/>
    </row>
    <row r="46" spans="1:18" s="9" customFormat="1" ht="26.25" customHeight="1" thickBot="1" x14ac:dyDescent="0.3">
      <c r="A46" s="271"/>
      <c r="B46" s="267"/>
      <c r="C46" s="40" t="s">
        <v>9</v>
      </c>
      <c r="D46" s="110" t="s">
        <v>81</v>
      </c>
      <c r="E46" s="24">
        <f>E44+1813.18</f>
        <v>28736.941000000006</v>
      </c>
      <c r="F46" s="29">
        <v>5.74</v>
      </c>
      <c r="G46" s="29">
        <f>G44+10407.64</f>
        <v>92295.159999999989</v>
      </c>
      <c r="H46" s="29">
        <f>H44+148680.51</f>
        <v>868047.17000000016</v>
      </c>
      <c r="I46" s="29">
        <f>I44+10407.64</f>
        <v>92295.09</v>
      </c>
      <c r="J46" s="29">
        <f>J44+148680.51</f>
        <v>868047.17000000016</v>
      </c>
      <c r="K46" s="29">
        <f t="shared" si="8"/>
        <v>-6.9999999992433004E-2</v>
      </c>
      <c r="L46" s="29">
        <f t="shared" si="9"/>
        <v>0</v>
      </c>
      <c r="M46" s="49"/>
      <c r="N46" s="49"/>
      <c r="O46" s="52"/>
      <c r="P46" s="44"/>
      <c r="Q46" s="44"/>
      <c r="R46" s="284"/>
    </row>
    <row r="47" spans="1:18" s="9" customFormat="1" ht="29.25" customHeight="1" thickBot="1" x14ac:dyDescent="0.3">
      <c r="A47" s="271"/>
      <c r="B47" s="267"/>
      <c r="C47" s="40" t="s">
        <v>35</v>
      </c>
      <c r="D47" s="110" t="s">
        <v>81</v>
      </c>
      <c r="E47" s="24">
        <f>E45+454.06</f>
        <v>1398.94</v>
      </c>
      <c r="F47" s="29">
        <v>5.74</v>
      </c>
      <c r="G47" s="29">
        <f>G45+2611.27-4.97</f>
        <v>6011.4199999999992</v>
      </c>
      <c r="H47" s="29">
        <f>H45+37232.92</f>
        <v>71001.58</v>
      </c>
      <c r="I47" s="29">
        <f>I45+2606.3</f>
        <v>6011.38</v>
      </c>
      <c r="J47" s="29">
        <f>J45+37232.92</f>
        <v>71001.579999999987</v>
      </c>
      <c r="K47" s="29">
        <f t="shared" si="8"/>
        <v>-3.9999999999054126E-2</v>
      </c>
      <c r="L47" s="29">
        <f t="shared" si="9"/>
        <v>0</v>
      </c>
      <c r="M47" s="49"/>
      <c r="N47" s="49"/>
      <c r="O47" s="52"/>
      <c r="P47" s="44"/>
      <c r="Q47" s="44"/>
      <c r="R47" s="284"/>
    </row>
    <row r="48" spans="1:18" s="9" customFormat="1" ht="29.25" customHeight="1" thickBot="1" x14ac:dyDescent="0.3">
      <c r="A48" s="271"/>
      <c r="B48" s="267"/>
      <c r="C48" s="40" t="s">
        <v>9</v>
      </c>
      <c r="D48" s="110" t="s">
        <v>98</v>
      </c>
      <c r="E48" s="24">
        <f>SUM(E46)+1162.29</f>
        <v>29899.231000000007</v>
      </c>
      <c r="F48" s="29">
        <v>5.74</v>
      </c>
      <c r="G48" s="29">
        <f>G46+6671.53</f>
        <v>98966.689999999988</v>
      </c>
      <c r="H48" s="29">
        <f>H46+96497.27</f>
        <v>964544.44000000018</v>
      </c>
      <c r="I48" s="29">
        <f>I46+6671.53</f>
        <v>98966.62</v>
      </c>
      <c r="J48" s="29">
        <f>J46+110417.27-13920</f>
        <v>964544.44000000018</v>
      </c>
      <c r="K48" s="29">
        <f>I48-G48</f>
        <v>-6.9999999992433004E-2</v>
      </c>
      <c r="L48" s="29">
        <f>J48-H48</f>
        <v>0</v>
      </c>
      <c r="M48" s="49"/>
      <c r="N48" s="49"/>
      <c r="O48" s="134"/>
      <c r="P48" s="44"/>
      <c r="Q48" s="44"/>
      <c r="R48" s="284"/>
    </row>
    <row r="49" spans="1:18" s="9" customFormat="1" ht="29.25" customHeight="1" thickBot="1" x14ac:dyDescent="0.3">
      <c r="A49" s="271"/>
      <c r="B49" s="267"/>
      <c r="C49" s="40" t="s">
        <v>35</v>
      </c>
      <c r="D49" s="110" t="s">
        <v>98</v>
      </c>
      <c r="E49" s="24">
        <f>SUM(E47)+271.8</f>
        <v>1670.74</v>
      </c>
      <c r="F49" s="29">
        <v>5.74</v>
      </c>
      <c r="G49" s="29">
        <f>G47+1560.01</f>
        <v>7571.4299999999994</v>
      </c>
      <c r="H49" s="29">
        <f>H47+25821.2-0.2</f>
        <v>96822.58</v>
      </c>
      <c r="I49" s="29">
        <f>I47+1560.13</f>
        <v>7571.51</v>
      </c>
      <c r="J49" s="29">
        <f>J47+25821</f>
        <v>96822.579999999987</v>
      </c>
      <c r="K49" s="29">
        <f>I49-G49</f>
        <v>8.0000000000836735E-2</v>
      </c>
      <c r="L49" s="29">
        <f>J49-H49</f>
        <v>0</v>
      </c>
      <c r="M49" s="49"/>
      <c r="N49" s="49"/>
      <c r="O49" s="52"/>
      <c r="P49" s="44"/>
      <c r="Q49" s="44"/>
      <c r="R49" s="284"/>
    </row>
    <row r="50" spans="1:18" s="9" customFormat="1" ht="29.25" customHeight="1" thickBot="1" x14ac:dyDescent="0.3">
      <c r="A50" s="271"/>
      <c r="B50" s="267"/>
      <c r="C50" s="40" t="s">
        <v>9</v>
      </c>
      <c r="D50" s="110" t="s">
        <v>99</v>
      </c>
      <c r="E50" s="24">
        <f>SUM(E48)+1174.18</f>
        <v>31073.411000000007</v>
      </c>
      <c r="F50" s="29">
        <v>5.74</v>
      </c>
      <c r="G50" s="29">
        <f>G48+0</f>
        <v>98966.689999999988</v>
      </c>
      <c r="H50" s="29">
        <f>H48+0</f>
        <v>964544.44000000018</v>
      </c>
      <c r="I50" s="29">
        <f>I48+6739.76-6739.76</f>
        <v>98966.62</v>
      </c>
      <c r="J50" s="29">
        <f>J48+111546.63-111546.63</f>
        <v>964544.44000000029</v>
      </c>
      <c r="K50" s="29">
        <f t="shared" ref="K50:L53" si="10">I50-G50</f>
        <v>-6.9999999992433004E-2</v>
      </c>
      <c r="L50" s="29">
        <f t="shared" si="10"/>
        <v>0</v>
      </c>
      <c r="M50" s="49"/>
      <c r="N50" s="49"/>
      <c r="O50" s="52"/>
      <c r="P50" s="44"/>
      <c r="Q50" s="44"/>
      <c r="R50" s="284"/>
    </row>
    <row r="51" spans="1:18" s="9" customFormat="1" ht="29.25" customHeight="1" thickBot="1" x14ac:dyDescent="0.3">
      <c r="A51" s="271"/>
      <c r="B51" s="267"/>
      <c r="C51" s="40" t="s">
        <v>35</v>
      </c>
      <c r="D51" s="110" t="s">
        <v>99</v>
      </c>
      <c r="E51" s="24">
        <f>SUM(E49)+353.42</f>
        <v>2024.16</v>
      </c>
      <c r="F51" s="29">
        <v>5.74</v>
      </c>
      <c r="G51" s="29">
        <f>G49+1580.36-1580.36</f>
        <v>7571.4299999999994</v>
      </c>
      <c r="H51" s="29">
        <f>H49+26597.51-26597.51</f>
        <v>96822.58</v>
      </c>
      <c r="I51" s="29">
        <f>I49+2028.63-2028.64</f>
        <v>7571.4999999999991</v>
      </c>
      <c r="J51" s="29">
        <f>J49+33574.9-33574.9</f>
        <v>96822.579999999987</v>
      </c>
      <c r="K51" s="29">
        <f t="shared" si="10"/>
        <v>6.9999999999708962E-2</v>
      </c>
      <c r="L51" s="29">
        <f t="shared" si="10"/>
        <v>0</v>
      </c>
      <c r="M51" s="49"/>
      <c r="N51" s="49"/>
      <c r="O51" s="52"/>
      <c r="P51" s="44"/>
      <c r="Q51" s="44"/>
      <c r="R51" s="284"/>
    </row>
    <row r="52" spans="1:18" s="9" customFormat="1" ht="29.25" customHeight="1" thickBot="1" x14ac:dyDescent="0.3">
      <c r="A52" s="271"/>
      <c r="B52" s="267"/>
      <c r="C52" s="40" t="s">
        <v>9</v>
      </c>
      <c r="D52" s="110" t="s">
        <v>103</v>
      </c>
      <c r="E52" s="24">
        <f>E50+1196.18</f>
        <v>32269.591000000008</v>
      </c>
      <c r="F52" s="29">
        <v>5.74</v>
      </c>
      <c r="G52" s="29">
        <f>G50+6866.06</f>
        <v>105832.74999999999</v>
      </c>
      <c r="H52" s="29">
        <f>H50+113636.91</f>
        <v>1078181.3500000001</v>
      </c>
      <c r="I52" s="29">
        <f>I50+6866.06</f>
        <v>105832.68</v>
      </c>
      <c r="J52" s="29">
        <f>J50+113636.91</f>
        <v>1078181.3500000003</v>
      </c>
      <c r="K52" s="29">
        <f>I52-G52</f>
        <v>-6.9999999992433004E-2</v>
      </c>
      <c r="L52" s="29">
        <f t="shared" si="10"/>
        <v>0</v>
      </c>
      <c r="M52" s="49"/>
      <c r="N52" s="49"/>
      <c r="O52" s="52"/>
      <c r="P52" s="44"/>
      <c r="Q52" s="44"/>
      <c r="R52" s="284"/>
    </row>
    <row r="53" spans="1:18" s="9" customFormat="1" ht="29.25" customHeight="1" thickBot="1" x14ac:dyDescent="0.3">
      <c r="A53" s="271"/>
      <c r="B53" s="267"/>
      <c r="C53" s="40" t="s">
        <v>35</v>
      </c>
      <c r="D53" s="110" t="s">
        <v>103</v>
      </c>
      <c r="E53" s="24">
        <f>E51+309.34</f>
        <v>2333.5</v>
      </c>
      <c r="F53" s="29">
        <v>5.74</v>
      </c>
      <c r="G53" s="29">
        <f>G51+1775.61</f>
        <v>9347.0399999999991</v>
      </c>
      <c r="H53" s="29">
        <f>H51+29387.3</f>
        <v>126209.88</v>
      </c>
      <c r="I53" s="29">
        <f>I51+1775.61</f>
        <v>9347.1099999999988</v>
      </c>
      <c r="J53" s="29">
        <f>J51+29387.3</f>
        <v>126209.87999999999</v>
      </c>
      <c r="K53" s="29">
        <f t="shared" si="10"/>
        <v>6.9999999999708962E-2</v>
      </c>
      <c r="L53" s="29">
        <f t="shared" si="10"/>
        <v>0</v>
      </c>
      <c r="M53" s="49"/>
      <c r="N53" s="49"/>
      <c r="O53" s="52"/>
      <c r="P53" s="44"/>
      <c r="Q53" s="44"/>
      <c r="R53" s="284"/>
    </row>
    <row r="54" spans="1:18" s="9" customFormat="1" ht="29.25" customHeight="1" thickBot="1" x14ac:dyDescent="0.3">
      <c r="A54" s="271"/>
      <c r="B54" s="267"/>
      <c r="C54" s="40" t="s">
        <v>9</v>
      </c>
      <c r="D54" s="146" t="s">
        <v>119</v>
      </c>
      <c r="E54" s="24">
        <f>E52+1180.79</f>
        <v>33450.381000000008</v>
      </c>
      <c r="F54" s="29">
        <v>5.74</v>
      </c>
      <c r="G54" s="29">
        <f>G52+0</f>
        <v>105832.74999999999</v>
      </c>
      <c r="H54" s="29">
        <f>H52+0</f>
        <v>1078181.3500000001</v>
      </c>
      <c r="I54" s="29">
        <f>I52+6777.71-6777.71</f>
        <v>105832.68</v>
      </c>
      <c r="J54" s="29">
        <f>J52+112174.79-112174.79</f>
        <v>1078181.3500000003</v>
      </c>
      <c r="K54" s="29">
        <f t="shared" ref="K54:L59" si="11">I54-G54</f>
        <v>-6.9999999992433004E-2</v>
      </c>
      <c r="L54" s="29">
        <f t="shared" si="11"/>
        <v>0</v>
      </c>
      <c r="M54" s="49"/>
      <c r="N54" s="49"/>
      <c r="O54" s="52"/>
      <c r="P54" s="44"/>
      <c r="Q54" s="44"/>
      <c r="R54" s="284"/>
    </row>
    <row r="55" spans="1:18" s="9" customFormat="1" ht="29.25" customHeight="1" thickBot="1" x14ac:dyDescent="0.3">
      <c r="A55" s="271"/>
      <c r="B55" s="267"/>
      <c r="C55" s="40" t="s">
        <v>35</v>
      </c>
      <c r="D55" s="146" t="s">
        <v>119</v>
      </c>
      <c r="E55" s="24">
        <f>E53+0</f>
        <v>2333.5</v>
      </c>
      <c r="F55" s="29">
        <v>5.74</v>
      </c>
      <c r="G55" s="29">
        <f>G53+0</f>
        <v>9347.0399999999991</v>
      </c>
      <c r="H55" s="29">
        <f>H53+0</f>
        <v>126209.88</v>
      </c>
      <c r="I55" s="29">
        <f>I53+0</f>
        <v>9347.1099999999988</v>
      </c>
      <c r="J55" s="29">
        <f>J53+0</f>
        <v>126209.87999999999</v>
      </c>
      <c r="K55" s="29">
        <f t="shared" si="11"/>
        <v>6.9999999999708962E-2</v>
      </c>
      <c r="L55" s="29">
        <f t="shared" si="11"/>
        <v>0</v>
      </c>
      <c r="M55" s="49"/>
      <c r="N55" s="49"/>
      <c r="O55" s="52"/>
      <c r="P55" s="44"/>
      <c r="Q55" s="44"/>
      <c r="R55" s="284"/>
    </row>
    <row r="56" spans="1:18" s="9" customFormat="1" ht="29.25" customHeight="1" thickBot="1" x14ac:dyDescent="0.3">
      <c r="A56" s="271"/>
      <c r="B56" s="267"/>
      <c r="C56" s="154" t="s">
        <v>9</v>
      </c>
      <c r="D56" s="146" t="s">
        <v>119</v>
      </c>
      <c r="E56" s="24">
        <f>E54</f>
        <v>33450.381000000008</v>
      </c>
      <c r="F56" s="274" t="s">
        <v>121</v>
      </c>
      <c r="G56" s="189">
        <f t="shared" ref="G56:J57" si="12">G54/1.95583</f>
        <v>54111.425839669086</v>
      </c>
      <c r="H56" s="189">
        <f t="shared" si="12"/>
        <v>551265.37071217853</v>
      </c>
      <c r="I56" s="189">
        <f t="shared" si="12"/>
        <v>54111.390049237409</v>
      </c>
      <c r="J56" s="189">
        <f t="shared" si="12"/>
        <v>551265.37071217864</v>
      </c>
      <c r="K56" s="189">
        <f t="shared" si="11"/>
        <v>-3.5790431677014567E-2</v>
      </c>
      <c r="L56" s="189">
        <f t="shared" si="11"/>
        <v>0</v>
      </c>
      <c r="M56" s="49"/>
      <c r="N56" s="49"/>
      <c r="O56" s="52"/>
      <c r="P56" s="44"/>
      <c r="Q56" s="44"/>
      <c r="R56" s="284"/>
    </row>
    <row r="57" spans="1:18" s="9" customFormat="1" ht="29.25" customHeight="1" thickBot="1" x14ac:dyDescent="0.3">
      <c r="A57" s="271"/>
      <c r="B57" s="267"/>
      <c r="C57" s="154" t="s">
        <v>35</v>
      </c>
      <c r="D57" s="146" t="s">
        <v>119</v>
      </c>
      <c r="E57" s="24">
        <f>E55</f>
        <v>2333.5</v>
      </c>
      <c r="F57" s="275"/>
      <c r="G57" s="189">
        <f t="shared" si="12"/>
        <v>4779.0656652163016</v>
      </c>
      <c r="H57" s="189">
        <f t="shared" si="12"/>
        <v>64530.086970748998</v>
      </c>
      <c r="I57" s="29">
        <f t="shared" si="12"/>
        <v>4779.1014556479849</v>
      </c>
      <c r="J57" s="29">
        <f t="shared" si="12"/>
        <v>64530.086970748991</v>
      </c>
      <c r="K57" s="189">
        <f t="shared" si="11"/>
        <v>3.579043168338103E-2</v>
      </c>
      <c r="L57" s="189">
        <f t="shared" si="11"/>
        <v>0</v>
      </c>
      <c r="M57" s="49"/>
      <c r="N57" s="49"/>
      <c r="O57" s="52"/>
      <c r="P57" s="44"/>
      <c r="Q57" s="44"/>
      <c r="R57" s="284"/>
    </row>
    <row r="58" spans="1:18" s="9" customFormat="1" ht="29.25" customHeight="1" thickBot="1" x14ac:dyDescent="0.3">
      <c r="A58" s="271"/>
      <c r="B58" s="267"/>
      <c r="C58" s="147" t="s">
        <v>9</v>
      </c>
      <c r="D58" s="187" t="s">
        <v>124</v>
      </c>
      <c r="E58" s="24">
        <f>E56+471.66</f>
        <v>33922.041000000012</v>
      </c>
      <c r="F58" s="189">
        <v>2.08</v>
      </c>
      <c r="G58" s="189">
        <f>G56+981.05</f>
        <v>55092.475839669089</v>
      </c>
      <c r="H58" s="189">
        <f>H56+0</f>
        <v>551265.37071217853</v>
      </c>
      <c r="I58" s="189">
        <f>I56+981.05</f>
        <v>55092.440049237412</v>
      </c>
      <c r="J58" s="189">
        <f>J56+22908.57</f>
        <v>574173.94071217859</v>
      </c>
      <c r="K58" s="189">
        <f t="shared" si="11"/>
        <v>-3.5790431677014567E-2</v>
      </c>
      <c r="L58" s="189">
        <f t="shared" si="11"/>
        <v>22908.570000000065</v>
      </c>
      <c r="M58" s="49"/>
      <c r="N58" s="49"/>
      <c r="O58" s="52"/>
      <c r="P58" s="44"/>
      <c r="Q58" s="44"/>
      <c r="R58" s="284"/>
    </row>
    <row r="59" spans="1:18" s="9" customFormat="1" ht="29.25" customHeight="1" thickBot="1" x14ac:dyDescent="0.3">
      <c r="A59" s="271"/>
      <c r="B59" s="267"/>
      <c r="C59" s="147" t="s">
        <v>35</v>
      </c>
      <c r="D59" s="187" t="s">
        <v>124</v>
      </c>
      <c r="E59" s="24">
        <f>E57+0</f>
        <v>2333.5</v>
      </c>
      <c r="F59" s="189">
        <v>2.08</v>
      </c>
      <c r="G59" s="189">
        <f>SUM(G57)+0</f>
        <v>4779.0656652163016</v>
      </c>
      <c r="H59" s="189">
        <f>H57+0</f>
        <v>64530.086970748998</v>
      </c>
      <c r="I59" s="189">
        <f>I57+0</f>
        <v>4779.1014556479849</v>
      </c>
      <c r="J59" s="189">
        <f>J57+0</f>
        <v>64530.086970748991</v>
      </c>
      <c r="K59" s="189">
        <f t="shared" si="11"/>
        <v>3.579043168338103E-2</v>
      </c>
      <c r="L59" s="189">
        <f t="shared" si="11"/>
        <v>0</v>
      </c>
      <c r="M59" s="49"/>
      <c r="N59" s="49"/>
      <c r="O59" s="52"/>
      <c r="P59" s="44"/>
      <c r="Q59" s="44"/>
      <c r="R59" s="284"/>
    </row>
    <row r="60" spans="1:18" s="9" customFormat="1" ht="51.75" customHeight="1" thickBot="1" x14ac:dyDescent="0.3">
      <c r="A60" s="271"/>
      <c r="B60" s="267"/>
      <c r="C60" s="32"/>
      <c r="D60" s="175" t="s">
        <v>112</v>
      </c>
      <c r="E60" s="176">
        <f>SUM(E58:E59)</f>
        <v>36255.541000000012</v>
      </c>
      <c r="F60" s="176"/>
      <c r="G60" s="176">
        <f>SUM(G58:G59)+0</f>
        <v>59871.54150488539</v>
      </c>
      <c r="H60" s="176">
        <f>SUM(H58:H59)</f>
        <v>615795.45768292749</v>
      </c>
      <c r="I60" s="176">
        <f>SUM(I58:I59)</f>
        <v>59871.541504885397</v>
      </c>
      <c r="J60" s="176">
        <f>SUM(J58:J59)</f>
        <v>638704.02768292755</v>
      </c>
      <c r="K60" s="176">
        <f>SUM(K58:K59)</f>
        <v>6.3664629124104977E-12</v>
      </c>
      <c r="L60" s="176">
        <f>SUM(L58:L59)</f>
        <v>22908.570000000065</v>
      </c>
      <c r="M60" s="181"/>
      <c r="N60" s="181"/>
      <c r="O60" s="195">
        <f>1142873.47/1.95583</f>
        <v>584341.92644554994</v>
      </c>
      <c r="P60" s="44"/>
      <c r="Q60" s="44"/>
      <c r="R60" s="284"/>
    </row>
    <row r="61" spans="1:18" ht="15.75" thickBot="1" x14ac:dyDescent="0.3">
      <c r="A61" s="271"/>
      <c r="B61" s="267"/>
      <c r="C61" s="53" t="s">
        <v>10</v>
      </c>
      <c r="D61" s="54" t="s">
        <v>4</v>
      </c>
      <c r="E61" s="20">
        <v>2902.9290000000001</v>
      </c>
      <c r="F61" s="16">
        <v>0</v>
      </c>
      <c r="G61" s="16">
        <v>0</v>
      </c>
      <c r="H61" s="16">
        <v>8708.7900000000009</v>
      </c>
      <c r="I61" s="16">
        <v>0</v>
      </c>
      <c r="J61" s="16">
        <v>8708.7900000000009</v>
      </c>
      <c r="K61" s="16">
        <f>I61-G61</f>
        <v>0</v>
      </c>
      <c r="L61" s="16">
        <f>J61-H61</f>
        <v>0</v>
      </c>
      <c r="M61" s="49"/>
      <c r="N61" s="49"/>
      <c r="O61" s="44"/>
      <c r="P61" s="45"/>
      <c r="Q61" s="45"/>
      <c r="R61" s="284"/>
    </row>
    <row r="62" spans="1:18" ht="15.75" thickBot="1" x14ac:dyDescent="0.3">
      <c r="A62" s="271"/>
      <c r="B62" s="267"/>
      <c r="C62" s="53" t="s">
        <v>10</v>
      </c>
      <c r="D62" s="54" t="s">
        <v>5</v>
      </c>
      <c r="E62" s="20">
        <f>2721.86+E61</f>
        <v>5624.7890000000007</v>
      </c>
      <c r="F62" s="16">
        <v>0</v>
      </c>
      <c r="G62" s="16">
        <f>0+G61</f>
        <v>0</v>
      </c>
      <c r="H62" s="16">
        <f>24496.74+H61</f>
        <v>33205.53</v>
      </c>
      <c r="I62" s="16">
        <f>0+I61</f>
        <v>0</v>
      </c>
      <c r="J62" s="16">
        <f>24496.74+J61</f>
        <v>33205.53</v>
      </c>
      <c r="K62" s="16">
        <f>I62-G62</f>
        <v>0</v>
      </c>
      <c r="L62" s="16">
        <f>J62-H62</f>
        <v>0</v>
      </c>
      <c r="M62" s="49"/>
      <c r="N62" s="49"/>
      <c r="O62" s="44"/>
      <c r="P62" s="45"/>
      <c r="Q62" s="45"/>
      <c r="R62" s="284"/>
    </row>
    <row r="63" spans="1:18" ht="15.75" thickBot="1" x14ac:dyDescent="0.3">
      <c r="A63" s="271"/>
      <c r="B63" s="267"/>
      <c r="C63" s="40" t="s">
        <v>10</v>
      </c>
      <c r="D63" s="13" t="s">
        <v>6</v>
      </c>
      <c r="E63" s="14">
        <f>2578.28+E62</f>
        <v>8203.0690000000013</v>
      </c>
      <c r="F63" s="15">
        <v>0</v>
      </c>
      <c r="G63" s="16">
        <f>0+G62</f>
        <v>0</v>
      </c>
      <c r="H63" s="16">
        <f>39094.5+H62</f>
        <v>72300.03</v>
      </c>
      <c r="I63" s="16">
        <f>0+I62</f>
        <v>0</v>
      </c>
      <c r="J63" s="16">
        <f>38674.2+J62</f>
        <v>71879.73</v>
      </c>
      <c r="K63" s="16">
        <f t="shared" ref="K63:K85" si="13">I63-G63</f>
        <v>0</v>
      </c>
      <c r="L63" s="16">
        <f t="shared" ref="L63:L85" si="14">J63-H63</f>
        <v>-420.30000000000291</v>
      </c>
      <c r="M63" s="49"/>
      <c r="N63" s="49"/>
      <c r="O63" s="44"/>
      <c r="P63" s="45"/>
      <c r="Q63" s="45"/>
      <c r="R63" s="284"/>
    </row>
    <row r="64" spans="1:18" ht="15" customHeight="1" thickBot="1" x14ac:dyDescent="0.3">
      <c r="A64" s="271"/>
      <c r="B64" s="267"/>
      <c r="C64" s="40" t="s">
        <v>10</v>
      </c>
      <c r="D64" s="13" t="s">
        <v>7</v>
      </c>
      <c r="E64" s="14">
        <f>2607.22+E63</f>
        <v>10810.289000000001</v>
      </c>
      <c r="F64" s="15">
        <v>0</v>
      </c>
      <c r="G64" s="16">
        <f>0+G63</f>
        <v>0</v>
      </c>
      <c r="H64" s="16">
        <f>57650.24+H63</f>
        <v>129950.26999999999</v>
      </c>
      <c r="I64" s="16">
        <f>0+I63</f>
        <v>0</v>
      </c>
      <c r="J64" s="16">
        <f>57358.84+J63</f>
        <v>129238.56999999999</v>
      </c>
      <c r="K64" s="16">
        <f t="shared" si="13"/>
        <v>0</v>
      </c>
      <c r="L64" s="16">
        <f t="shared" si="14"/>
        <v>-711.69999999999709</v>
      </c>
      <c r="M64" s="49"/>
      <c r="N64" s="49"/>
      <c r="O64" s="44"/>
      <c r="P64" s="45"/>
      <c r="Q64" s="45"/>
      <c r="R64" s="284"/>
    </row>
    <row r="65" spans="1:18" ht="54.75" customHeight="1" thickBot="1" x14ac:dyDescent="0.3">
      <c r="A65" s="271"/>
      <c r="B65" s="267"/>
      <c r="C65" s="40" t="s">
        <v>10</v>
      </c>
      <c r="D65" s="13" t="s">
        <v>8</v>
      </c>
      <c r="E65" s="14">
        <f>2276.08+E64</f>
        <v>13086.369000000001</v>
      </c>
      <c r="F65" s="15">
        <v>6.29</v>
      </c>
      <c r="G65" s="16">
        <f>14315.41+G64</f>
        <v>14315.41</v>
      </c>
      <c r="H65" s="16">
        <f>63729.12+H64</f>
        <v>193679.38999999998</v>
      </c>
      <c r="I65" s="16">
        <f>14316.54+I64</f>
        <v>14316.54</v>
      </c>
      <c r="J65" s="16">
        <f>63730.24+J64</f>
        <v>192968.81</v>
      </c>
      <c r="K65" s="16">
        <f t="shared" si="13"/>
        <v>1.1300000000010186</v>
      </c>
      <c r="L65" s="16">
        <f t="shared" si="14"/>
        <v>-710.57999999998719</v>
      </c>
      <c r="M65" s="49"/>
      <c r="N65" s="44"/>
      <c r="O65" s="40" t="s">
        <v>45</v>
      </c>
      <c r="P65" s="45"/>
      <c r="Q65" s="45"/>
      <c r="R65" s="284"/>
    </row>
    <row r="66" spans="1:18" ht="75.75" customHeight="1" thickBot="1" x14ac:dyDescent="0.3">
      <c r="A66" s="271"/>
      <c r="B66" s="267"/>
      <c r="C66" s="40" t="s">
        <v>10</v>
      </c>
      <c r="D66" s="13" t="s">
        <v>21</v>
      </c>
      <c r="E66" s="20">
        <f>2071.72+E65</f>
        <v>15158.089</v>
      </c>
      <c r="F66" s="16">
        <v>6.29</v>
      </c>
      <c r="G66" s="16">
        <f>13031.33+G65</f>
        <v>27346.739999999998</v>
      </c>
      <c r="H66" s="16">
        <f>74581.7+H65</f>
        <v>268261.08999999997</v>
      </c>
      <c r="I66" s="16">
        <f>13031.12+I65</f>
        <v>27347.660000000003</v>
      </c>
      <c r="J66" s="16">
        <f>74581.92+J65</f>
        <v>267550.73</v>
      </c>
      <c r="K66" s="16">
        <f t="shared" si="13"/>
        <v>0.92000000000552973</v>
      </c>
      <c r="L66" s="16">
        <f t="shared" si="14"/>
        <v>-710.35999999998603</v>
      </c>
      <c r="M66" s="49"/>
      <c r="N66" s="49"/>
      <c r="O66" s="32" t="s">
        <v>46</v>
      </c>
      <c r="P66" s="45"/>
      <c r="Q66" s="45"/>
      <c r="R66" s="284"/>
    </row>
    <row r="67" spans="1:18" ht="35.25" customHeight="1" thickBot="1" x14ac:dyDescent="0.3">
      <c r="A67" s="271"/>
      <c r="B67" s="267"/>
      <c r="C67" s="40" t="s">
        <v>10</v>
      </c>
      <c r="D67" s="13" t="s">
        <v>65</v>
      </c>
      <c r="E67" s="20">
        <f>2082.74+E66</f>
        <v>17240.828999999998</v>
      </c>
      <c r="F67" s="16">
        <v>5.74</v>
      </c>
      <c r="G67" s="16">
        <f>11954.92+G66</f>
        <v>39301.659999999996</v>
      </c>
      <c r="H67" s="16">
        <f>83309.6+H66</f>
        <v>351570.68999999994</v>
      </c>
      <c r="I67" s="16">
        <f>11954.93+I66</f>
        <v>39302.590000000004</v>
      </c>
      <c r="J67" s="16">
        <f>83309.6+J66</f>
        <v>350860.32999999996</v>
      </c>
      <c r="K67" s="16">
        <f t="shared" si="13"/>
        <v>0.930000000007567</v>
      </c>
      <c r="L67" s="16">
        <f t="shared" si="14"/>
        <v>-710.35999999998603</v>
      </c>
      <c r="M67" s="49"/>
      <c r="N67" s="49"/>
      <c r="O67" s="55"/>
      <c r="P67" s="45"/>
      <c r="Q67" s="45"/>
      <c r="R67" s="284"/>
    </row>
    <row r="68" spans="1:18" s="9" customFormat="1" ht="33.75" customHeight="1" thickBot="1" x14ac:dyDescent="0.3">
      <c r="A68" s="271"/>
      <c r="B68" s="267"/>
      <c r="C68" s="40" t="s">
        <v>10</v>
      </c>
      <c r="D68" s="13" t="s">
        <v>39</v>
      </c>
      <c r="E68" s="20">
        <f>581.72+459.66+636.24+543.6+E67</f>
        <v>19462.048999999999</v>
      </c>
      <c r="F68" s="16">
        <v>5.74</v>
      </c>
      <c r="G68" s="29">
        <f>13653.99+G67</f>
        <v>52955.649999999994</v>
      </c>
      <c r="H68" s="29">
        <f>99954.9+H67</f>
        <v>451525.58999999997</v>
      </c>
      <c r="I68" s="16">
        <f>3339.07+2638.45+3652.02+3120.26+I67</f>
        <v>52052.390000000007</v>
      </c>
      <c r="J68" s="16">
        <f>26177.4+20684.7+28630.8+24462+J67</f>
        <v>450815.23</v>
      </c>
      <c r="K68" s="16">
        <f t="shared" si="13"/>
        <v>-903.25999999998749</v>
      </c>
      <c r="L68" s="16">
        <f t="shared" si="14"/>
        <v>-710.35999999998603</v>
      </c>
      <c r="M68" s="49"/>
      <c r="N68" s="49"/>
      <c r="O68" s="55"/>
      <c r="P68" s="44"/>
      <c r="Q68" s="44"/>
      <c r="R68" s="284"/>
    </row>
    <row r="69" spans="1:18" s="9" customFormat="1" ht="27.75" customHeight="1" thickBot="1" x14ac:dyDescent="0.3">
      <c r="A69" s="271"/>
      <c r="B69" s="267"/>
      <c r="C69" s="40" t="s">
        <v>10</v>
      </c>
      <c r="D69" s="13" t="s">
        <v>66</v>
      </c>
      <c r="E69" s="20">
        <f>2214.76+E68</f>
        <v>21676.809000000001</v>
      </c>
      <c r="F69" s="16">
        <v>5.74</v>
      </c>
      <c r="G69" s="29">
        <f>12712.74+G68</f>
        <v>65668.39</v>
      </c>
      <c r="H69" s="29">
        <f>126241.32+H68</f>
        <v>577766.90999999992</v>
      </c>
      <c r="I69" s="29">
        <f>12712.72+I68</f>
        <v>64765.110000000008</v>
      </c>
      <c r="J69" s="29">
        <f>126241.32+J68</f>
        <v>577056.55000000005</v>
      </c>
      <c r="K69" s="29">
        <f t="shared" ref="K69:L71" si="15">I69-G69</f>
        <v>-903.27999999999156</v>
      </c>
      <c r="L69" s="29">
        <f t="shared" si="15"/>
        <v>-710.35999999986961</v>
      </c>
      <c r="M69" s="49"/>
      <c r="N69" s="49"/>
      <c r="O69" s="115"/>
      <c r="P69" s="44"/>
      <c r="Q69" s="44"/>
      <c r="R69" s="284"/>
    </row>
    <row r="70" spans="1:18" s="9" customFormat="1" ht="38.25" customHeight="1" thickBot="1" x14ac:dyDescent="0.3">
      <c r="A70" s="271"/>
      <c r="B70" s="267"/>
      <c r="C70" s="40" t="s">
        <v>10</v>
      </c>
      <c r="D70" s="110" t="s">
        <v>78</v>
      </c>
      <c r="E70" s="24">
        <f>E69+2214.98</f>
        <v>23891.789000000001</v>
      </c>
      <c r="F70" s="29">
        <v>5.74</v>
      </c>
      <c r="G70" s="29">
        <f>G69+6953.66-5184.36</f>
        <v>67437.69</v>
      </c>
      <c r="H70" s="29">
        <f>H69+94521.32-65238.52</f>
        <v>607049.71</v>
      </c>
      <c r="I70" s="29">
        <f>I69+12713.99-10944.69</f>
        <v>66534.41</v>
      </c>
      <c r="J70" s="29">
        <f>J69+163917.42-134634.62</f>
        <v>606339.35000000009</v>
      </c>
      <c r="K70" s="29">
        <f t="shared" si="15"/>
        <v>-903.27999999999884</v>
      </c>
      <c r="L70" s="29">
        <f t="shared" si="15"/>
        <v>-710.35999999986961</v>
      </c>
      <c r="M70" s="49"/>
      <c r="N70" s="49"/>
      <c r="O70" s="115"/>
      <c r="P70" s="44"/>
      <c r="Q70" s="44"/>
      <c r="R70" s="284"/>
    </row>
    <row r="71" spans="1:18" s="9" customFormat="1" ht="27.75" customHeight="1" thickBot="1" x14ac:dyDescent="0.3">
      <c r="A71" s="271"/>
      <c r="B71" s="267"/>
      <c r="C71" s="40" t="s">
        <v>10</v>
      </c>
      <c r="D71" s="146" t="s">
        <v>81</v>
      </c>
      <c r="E71" s="24">
        <f>E70+1974.78</f>
        <v>25866.569</v>
      </c>
      <c r="F71" s="29">
        <v>5.74</v>
      </c>
      <c r="G71" s="29">
        <f>G70+442.42</f>
        <v>67880.11</v>
      </c>
      <c r="H71" s="29">
        <f>H70+6320.58</f>
        <v>613370.28999999992</v>
      </c>
      <c r="I71" s="29">
        <f>I70+11335.23-10892.81</f>
        <v>66976.83</v>
      </c>
      <c r="J71" s="29">
        <f>J70+161931.8-155611.74</f>
        <v>612659.41000000015</v>
      </c>
      <c r="K71" s="29">
        <f t="shared" si="15"/>
        <v>-903.27999999999884</v>
      </c>
      <c r="L71" s="29">
        <f t="shared" si="15"/>
        <v>-710.87999999977183</v>
      </c>
      <c r="M71" s="49"/>
      <c r="N71" s="49"/>
      <c r="O71" s="115"/>
      <c r="P71" s="44"/>
      <c r="Q71" s="44"/>
      <c r="R71" s="284"/>
    </row>
    <row r="72" spans="1:18" s="9" customFormat="1" ht="33" customHeight="1" thickBot="1" x14ac:dyDescent="0.3">
      <c r="A72" s="271"/>
      <c r="B72" s="267"/>
      <c r="C72" s="40" t="s">
        <v>10</v>
      </c>
      <c r="D72" s="110" t="s">
        <v>98</v>
      </c>
      <c r="E72" s="24">
        <f>E71+1006.93</f>
        <v>26873.499</v>
      </c>
      <c r="F72" s="29">
        <v>5.74</v>
      </c>
      <c r="G72" s="29">
        <f>G71+3223.65+2556.11</f>
        <v>73659.87</v>
      </c>
      <c r="H72" s="29">
        <f>H71+63504.35+32153.72</f>
        <v>709028.35999999987</v>
      </c>
      <c r="I72" s="29">
        <f>I71+5779.76</f>
        <v>72756.59</v>
      </c>
      <c r="J72" s="29">
        <f>J71+95658.07</f>
        <v>708317.48000000021</v>
      </c>
      <c r="K72" s="29">
        <f t="shared" ref="K72:L74" si="16">I72-G72</f>
        <v>-903.27999999999884</v>
      </c>
      <c r="L72" s="29">
        <f t="shared" si="16"/>
        <v>-710.87999999965541</v>
      </c>
      <c r="M72" s="49"/>
      <c r="N72" s="49"/>
      <c r="O72" s="115"/>
      <c r="P72" s="44"/>
      <c r="Q72" s="44"/>
      <c r="R72" s="284"/>
    </row>
    <row r="73" spans="1:18" s="9" customFormat="1" ht="30.75" customHeight="1" thickBot="1" x14ac:dyDescent="0.3">
      <c r="A73" s="271"/>
      <c r="B73" s="267"/>
      <c r="C73" s="40" t="s">
        <v>10</v>
      </c>
      <c r="D73" s="110" t="s">
        <v>99</v>
      </c>
      <c r="E73" s="24">
        <f>E72+1011.44</f>
        <v>27884.938999999998</v>
      </c>
      <c r="F73" s="29">
        <v>5.74</v>
      </c>
      <c r="G73" s="29">
        <f>G72+501.03-501.03</f>
        <v>73659.87</v>
      </c>
      <c r="H73" s="29">
        <f>H72+9650.08-9650.08</f>
        <v>709028.35999999987</v>
      </c>
      <c r="I73" s="29">
        <f>I72+5805.67-1759.36-4046.31</f>
        <v>72756.59</v>
      </c>
      <c r="J73" s="29">
        <f>J72+96086.8-27760.64-68326.16</f>
        <v>708317.48000000021</v>
      </c>
      <c r="K73" s="29">
        <f t="shared" si="16"/>
        <v>-903.27999999999884</v>
      </c>
      <c r="L73" s="29">
        <f t="shared" si="16"/>
        <v>-710.87999999965541</v>
      </c>
      <c r="M73" s="49"/>
      <c r="N73" s="49"/>
      <c r="O73" s="115"/>
      <c r="P73" s="44"/>
      <c r="Q73" s="44"/>
      <c r="R73" s="284"/>
    </row>
    <row r="74" spans="1:18" s="9" customFormat="1" ht="30.75" customHeight="1" thickBot="1" x14ac:dyDescent="0.3">
      <c r="A74" s="271"/>
      <c r="B74" s="267"/>
      <c r="C74" s="40" t="s">
        <v>10</v>
      </c>
      <c r="D74" s="110" t="s">
        <v>103</v>
      </c>
      <c r="E74" s="24">
        <f>E73+1046.71</f>
        <v>28931.648999999998</v>
      </c>
      <c r="F74" s="29">
        <v>5.74</v>
      </c>
      <c r="G74" s="29">
        <f>G73+0</f>
        <v>73659.87</v>
      </c>
      <c r="H74" s="29">
        <f>H73+0</f>
        <v>709028.35999999987</v>
      </c>
      <c r="I74" s="29">
        <f>I73+6008.14-6008.14</f>
        <v>72756.59</v>
      </c>
      <c r="J74" s="29">
        <f>J73+99437.83-99437.83</f>
        <v>708317.48000000021</v>
      </c>
      <c r="K74" s="29">
        <f t="shared" si="16"/>
        <v>-903.27999999999884</v>
      </c>
      <c r="L74" s="29">
        <f t="shared" si="16"/>
        <v>-710.87999999965541</v>
      </c>
      <c r="M74" s="49"/>
      <c r="N74" s="49"/>
      <c r="O74" s="115"/>
      <c r="P74" s="44"/>
      <c r="Q74" s="44"/>
      <c r="R74" s="284"/>
    </row>
    <row r="75" spans="1:18" s="9" customFormat="1" ht="30" customHeight="1" thickBot="1" x14ac:dyDescent="0.3">
      <c r="A75" s="271"/>
      <c r="B75" s="267"/>
      <c r="C75" s="154" t="s">
        <v>10</v>
      </c>
      <c r="D75" s="146" t="s">
        <v>122</v>
      </c>
      <c r="E75" s="24">
        <f>E74+1053.03</f>
        <v>29984.678999999996</v>
      </c>
      <c r="F75" s="29">
        <v>5.74</v>
      </c>
      <c r="G75" s="193">
        <f>G74+0</f>
        <v>73659.87</v>
      </c>
      <c r="H75" s="193">
        <f>H74+0</f>
        <v>709028.35999999987</v>
      </c>
      <c r="I75" s="193">
        <f>I74+6044.39-6044.39</f>
        <v>72756.59</v>
      </c>
      <c r="J75" s="193">
        <f>J74+100037.97-100037.97</f>
        <v>708317.48000000021</v>
      </c>
      <c r="K75" s="193">
        <f t="shared" ref="K75:L77" si="17">I75-G75</f>
        <v>-903.27999999999884</v>
      </c>
      <c r="L75" s="193">
        <f t="shared" si="17"/>
        <v>-710.87999999965541</v>
      </c>
      <c r="M75" s="121"/>
      <c r="N75" s="121"/>
      <c r="O75" s="191"/>
      <c r="P75" s="44"/>
      <c r="Q75" s="44"/>
      <c r="R75" s="284"/>
    </row>
    <row r="76" spans="1:18" s="9" customFormat="1" ht="30" customHeight="1" thickBot="1" x14ac:dyDescent="0.3">
      <c r="A76" s="271"/>
      <c r="B76" s="267"/>
      <c r="C76" s="154" t="s">
        <v>10</v>
      </c>
      <c r="D76" s="146" t="s">
        <v>122</v>
      </c>
      <c r="E76" s="24">
        <f>E75</f>
        <v>29984.678999999996</v>
      </c>
      <c r="F76" s="140" t="s">
        <v>121</v>
      </c>
      <c r="G76" s="189">
        <f>G75/1.95583</f>
        <v>37661.693500968897</v>
      </c>
      <c r="H76" s="189">
        <f>H75/1.95583</f>
        <v>362520.44400586956</v>
      </c>
      <c r="I76" s="189">
        <f>I75/1.95583</f>
        <v>37199.853770521979</v>
      </c>
      <c r="J76" s="189">
        <f>J75/1.95583</f>
        <v>362156.97683336498</v>
      </c>
      <c r="K76" s="189">
        <f t="shared" si="17"/>
        <v>-461.83973044691811</v>
      </c>
      <c r="L76" s="189">
        <f t="shared" si="17"/>
        <v>-363.46717250457732</v>
      </c>
      <c r="M76" s="121"/>
      <c r="N76" s="121"/>
      <c r="O76" s="191"/>
      <c r="P76" s="44"/>
      <c r="Q76" s="44"/>
      <c r="R76" s="284"/>
    </row>
    <row r="77" spans="1:18" s="9" customFormat="1" ht="30" customHeight="1" thickBot="1" x14ac:dyDescent="0.3">
      <c r="A77" s="271"/>
      <c r="B77" s="267"/>
      <c r="C77" s="147" t="s">
        <v>10</v>
      </c>
      <c r="D77" s="188" t="s">
        <v>124</v>
      </c>
      <c r="E77" s="177">
        <f>SUM(E75)+406.06</f>
        <v>30390.738999999998</v>
      </c>
      <c r="F77" s="200">
        <v>2.08</v>
      </c>
      <c r="G77" s="200">
        <f>SUM(G76)+844.62</f>
        <v>38506.313500968899</v>
      </c>
      <c r="H77" s="200">
        <f>SUM(H76)+0</f>
        <v>362520.44400586956</v>
      </c>
      <c r="I77" s="200">
        <f>SUM(I76)+844.62</f>
        <v>38044.473770521981</v>
      </c>
      <c r="J77" s="200">
        <f>SUM(J76)+19722.53</f>
        <v>381879.50683336495</v>
      </c>
      <c r="K77" s="200">
        <f t="shared" si="17"/>
        <v>-461.83973044691811</v>
      </c>
      <c r="L77" s="200">
        <f>J77-H77</f>
        <v>19359.062827495392</v>
      </c>
      <c r="M77" s="181"/>
      <c r="N77" s="181"/>
      <c r="O77" s="201">
        <f>708317.48/1.95583</f>
        <v>362156.97683336487</v>
      </c>
      <c r="P77" s="44"/>
      <c r="Q77" s="44"/>
      <c r="R77" s="284"/>
    </row>
    <row r="78" spans="1:18" ht="15.75" thickBot="1" x14ac:dyDescent="0.3">
      <c r="A78" s="271"/>
      <c r="B78" s="267"/>
      <c r="C78" s="53" t="s">
        <v>11</v>
      </c>
      <c r="D78" s="54" t="s">
        <v>4</v>
      </c>
      <c r="E78" s="20">
        <v>1345.65</v>
      </c>
      <c r="F78" s="16">
        <v>0</v>
      </c>
      <c r="G78" s="16">
        <v>0</v>
      </c>
      <c r="H78" s="16">
        <v>4036.95</v>
      </c>
      <c r="I78" s="16">
        <v>0</v>
      </c>
      <c r="J78" s="16">
        <v>4036.95</v>
      </c>
      <c r="K78" s="16">
        <f t="shared" si="13"/>
        <v>0</v>
      </c>
      <c r="L78" s="16">
        <f t="shared" si="14"/>
        <v>0</v>
      </c>
      <c r="M78" s="44"/>
      <c r="N78" s="49"/>
      <c r="O78" s="44"/>
      <c r="P78" s="45"/>
      <c r="Q78" s="45"/>
      <c r="R78" s="284"/>
    </row>
    <row r="79" spans="1:18" ht="15.75" thickBot="1" x14ac:dyDescent="0.3">
      <c r="A79" s="271"/>
      <c r="B79" s="267"/>
      <c r="C79" s="53" t="s">
        <v>11</v>
      </c>
      <c r="D79" s="54" t="s">
        <v>5</v>
      </c>
      <c r="E79" s="20">
        <f>1196.37+E78</f>
        <v>2542.02</v>
      </c>
      <c r="F79" s="16">
        <v>0</v>
      </c>
      <c r="G79" s="16">
        <f>0+G78</f>
        <v>0</v>
      </c>
      <c r="H79" s="16">
        <f>10767.33+H78</f>
        <v>14804.279999999999</v>
      </c>
      <c r="I79" s="16">
        <f>0+I78</f>
        <v>0</v>
      </c>
      <c r="J79" s="16">
        <f>10767.33+J78</f>
        <v>14804.279999999999</v>
      </c>
      <c r="K79" s="16">
        <f t="shared" si="13"/>
        <v>0</v>
      </c>
      <c r="L79" s="16">
        <f t="shared" si="14"/>
        <v>0</v>
      </c>
      <c r="M79" s="49"/>
      <c r="N79" s="49"/>
      <c r="O79" s="44"/>
      <c r="P79" s="45"/>
      <c r="Q79" s="45"/>
      <c r="R79" s="284"/>
    </row>
    <row r="80" spans="1:18" ht="15.75" thickBot="1" x14ac:dyDescent="0.3">
      <c r="A80" s="271"/>
      <c r="B80" s="267"/>
      <c r="C80" s="40" t="s">
        <v>11</v>
      </c>
      <c r="D80" s="13" t="s">
        <v>6</v>
      </c>
      <c r="E80" s="20">
        <f>1085.42+E79</f>
        <v>3627.44</v>
      </c>
      <c r="F80" s="15">
        <v>0</v>
      </c>
      <c r="G80" s="16">
        <f>0+G79</f>
        <v>0</v>
      </c>
      <c r="H80" s="16">
        <f>16281.3+H79</f>
        <v>31085.579999999998</v>
      </c>
      <c r="I80" s="16">
        <f>0+I79</f>
        <v>0</v>
      </c>
      <c r="J80" s="16">
        <f>16281.3+J79</f>
        <v>31085.579999999998</v>
      </c>
      <c r="K80" s="16">
        <f t="shared" si="13"/>
        <v>0</v>
      </c>
      <c r="L80" s="16">
        <f t="shared" si="14"/>
        <v>0</v>
      </c>
      <c r="M80" s="49"/>
      <c r="N80" s="49"/>
      <c r="O80" s="44"/>
      <c r="P80" s="45"/>
      <c r="Q80" s="45"/>
      <c r="R80" s="284"/>
    </row>
    <row r="81" spans="1:18" ht="15.75" thickBot="1" x14ac:dyDescent="0.3">
      <c r="A81" s="271"/>
      <c r="B81" s="267"/>
      <c r="C81" s="40" t="s">
        <v>11</v>
      </c>
      <c r="D81" s="13" t="s">
        <v>7</v>
      </c>
      <c r="E81" s="20">
        <f>1060.94+E80</f>
        <v>4688.38</v>
      </c>
      <c r="F81" s="15">
        <v>0</v>
      </c>
      <c r="G81" s="16">
        <f>0+G80</f>
        <v>0</v>
      </c>
      <c r="H81" s="16">
        <f>23340.68+H80</f>
        <v>54426.259999999995</v>
      </c>
      <c r="I81" s="16">
        <f>0+I80</f>
        <v>0</v>
      </c>
      <c r="J81" s="16">
        <f>23340.68+J80</f>
        <v>54426.259999999995</v>
      </c>
      <c r="K81" s="16">
        <f t="shared" si="13"/>
        <v>0</v>
      </c>
      <c r="L81" s="16">
        <f t="shared" si="14"/>
        <v>0</v>
      </c>
      <c r="M81" s="56">
        <f>663.82+690.51</f>
        <v>1354.33</v>
      </c>
      <c r="N81" s="256">
        <v>9042.31</v>
      </c>
      <c r="O81" s="44"/>
      <c r="P81" s="45"/>
      <c r="Q81" s="45"/>
      <c r="R81" s="284"/>
    </row>
    <row r="82" spans="1:18" ht="15.75" thickBot="1" x14ac:dyDescent="0.3">
      <c r="A82" s="271"/>
      <c r="B82" s="267"/>
      <c r="C82" s="40" t="s">
        <v>11</v>
      </c>
      <c r="D82" s="13" t="s">
        <v>8</v>
      </c>
      <c r="E82" s="20">
        <f>932.58+E81</f>
        <v>5620.96</v>
      </c>
      <c r="F82" s="15">
        <v>6.29</v>
      </c>
      <c r="G82" s="16">
        <f>5865.93+G81</f>
        <v>5865.93</v>
      </c>
      <c r="H82" s="16">
        <f>26112.24+H81</f>
        <v>80538.5</v>
      </c>
      <c r="I82" s="16">
        <f>5865.93+I81</f>
        <v>5865.93</v>
      </c>
      <c r="J82" s="16">
        <f>26112.24+J81</f>
        <v>80538.5</v>
      </c>
      <c r="K82" s="16">
        <f t="shared" si="13"/>
        <v>0</v>
      </c>
      <c r="L82" s="16">
        <f t="shared" si="14"/>
        <v>0</v>
      </c>
      <c r="M82" s="56">
        <f>105.19+1312.18</f>
        <v>1417.3700000000001</v>
      </c>
      <c r="N82" s="286"/>
      <c r="O82" s="44"/>
      <c r="P82" s="45"/>
      <c r="Q82" s="45"/>
      <c r="R82" s="284"/>
    </row>
    <row r="83" spans="1:18" ht="78" customHeight="1" thickBot="1" x14ac:dyDescent="0.3">
      <c r="A83" s="271"/>
      <c r="B83" s="267"/>
      <c r="C83" s="40" t="s">
        <v>11</v>
      </c>
      <c r="D83" s="13" t="s">
        <v>21</v>
      </c>
      <c r="E83" s="20">
        <f>996.18+E82</f>
        <v>6617.14</v>
      </c>
      <c r="F83" s="16">
        <v>6.29</v>
      </c>
      <c r="G83" s="16">
        <f>6265.97+G82</f>
        <v>12131.900000000001</v>
      </c>
      <c r="H83" s="16">
        <f>35862.48+H82</f>
        <v>116400.98000000001</v>
      </c>
      <c r="I83" s="16">
        <f>6265.97+I82</f>
        <v>12131.900000000001</v>
      </c>
      <c r="J83" s="16">
        <f>35862.48+J82</f>
        <v>116400.98000000001</v>
      </c>
      <c r="K83" s="16">
        <f t="shared" si="13"/>
        <v>0</v>
      </c>
      <c r="L83" s="16">
        <f t="shared" si="14"/>
        <v>0</v>
      </c>
      <c r="M83" s="56">
        <f>144.32</f>
        <v>144.32</v>
      </c>
      <c r="N83" s="257"/>
      <c r="O83" s="40" t="s">
        <v>47</v>
      </c>
      <c r="P83" s="19"/>
      <c r="Q83" s="19"/>
      <c r="R83" s="284"/>
    </row>
    <row r="84" spans="1:18" ht="66" customHeight="1" thickBot="1" x14ac:dyDescent="0.3">
      <c r="A84" s="271"/>
      <c r="B84" s="267"/>
      <c r="C84" s="40" t="s">
        <v>11</v>
      </c>
      <c r="D84" s="13" t="s">
        <v>65</v>
      </c>
      <c r="E84" s="20">
        <f>1023.52+E83</f>
        <v>7640.66</v>
      </c>
      <c r="F84" s="16">
        <v>5.74</v>
      </c>
      <c r="G84" s="16">
        <f>5875+G83</f>
        <v>18006.900000000001</v>
      </c>
      <c r="H84" s="16">
        <f>40940.8+H83</f>
        <v>157341.78000000003</v>
      </c>
      <c r="I84" s="16">
        <f>5875+I83</f>
        <v>18006.900000000001</v>
      </c>
      <c r="J84" s="16">
        <f>40940.8+J83</f>
        <v>157341.78000000003</v>
      </c>
      <c r="K84" s="16">
        <f t="shared" si="13"/>
        <v>0</v>
      </c>
      <c r="L84" s="16">
        <f t="shared" si="14"/>
        <v>0</v>
      </c>
      <c r="M84" s="49"/>
      <c r="N84" s="57"/>
      <c r="O84" s="53" t="s">
        <v>48</v>
      </c>
      <c r="P84" s="19"/>
      <c r="Q84" s="19"/>
      <c r="R84" s="284"/>
    </row>
    <row r="85" spans="1:18" ht="34.5" customHeight="1" thickBot="1" x14ac:dyDescent="0.3">
      <c r="A85" s="271"/>
      <c r="B85" s="267"/>
      <c r="C85" s="40" t="s">
        <v>11</v>
      </c>
      <c r="D85" s="13" t="s">
        <v>39</v>
      </c>
      <c r="E85" s="20">
        <f>286.12+246.98+320.34+306.06+E84</f>
        <v>8800.16</v>
      </c>
      <c r="F85" s="16">
        <v>5.74</v>
      </c>
      <c r="G85" s="29">
        <f>6687.32+G84-31.79</f>
        <v>24662.43</v>
      </c>
      <c r="H85" s="29">
        <f>52426.79+H84-249.28</f>
        <v>209519.29000000004</v>
      </c>
      <c r="I85" s="29">
        <f>1642.33+1417.67+1838.75+1756.78+I84</f>
        <v>24662.43</v>
      </c>
      <c r="J85" s="29">
        <f>12875.4+11114.1+14415.3+13772.7+J84</f>
        <v>209519.28000000003</v>
      </c>
      <c r="K85" s="29">
        <f t="shared" si="13"/>
        <v>0</v>
      </c>
      <c r="L85" s="29">
        <f t="shared" si="14"/>
        <v>-1.0000000009313226E-2</v>
      </c>
      <c r="M85" s="49"/>
      <c r="N85" s="57"/>
      <c r="O85" s="58"/>
      <c r="P85" s="19"/>
      <c r="Q85" s="19"/>
      <c r="R85" s="284"/>
    </row>
    <row r="86" spans="1:18" s="9" customFormat="1" ht="34.5" customHeight="1" thickBot="1" x14ac:dyDescent="0.3">
      <c r="A86" s="271"/>
      <c r="B86" s="267"/>
      <c r="C86" s="40" t="s">
        <v>11</v>
      </c>
      <c r="D86" s="13" t="s">
        <v>66</v>
      </c>
      <c r="E86" s="20">
        <f>1195.02+E85</f>
        <v>9995.18</v>
      </c>
      <c r="F86" s="16">
        <v>5.74</v>
      </c>
      <c r="G86" s="29">
        <f>6859.41+G85</f>
        <v>31521.84</v>
      </c>
      <c r="H86" s="29">
        <f>68116.14+H85</f>
        <v>277635.43000000005</v>
      </c>
      <c r="I86" s="29">
        <f>6859.41+I85</f>
        <v>31521.84</v>
      </c>
      <c r="J86" s="29">
        <f>68116.14+J85</f>
        <v>277635.42000000004</v>
      </c>
      <c r="K86" s="29">
        <f t="shared" ref="K86:L88" si="18">I86-G86</f>
        <v>0</v>
      </c>
      <c r="L86" s="29">
        <f t="shared" si="18"/>
        <v>-1.0000000009313226E-2</v>
      </c>
      <c r="M86" s="49"/>
      <c r="N86" s="57"/>
      <c r="O86" s="58"/>
      <c r="P86" s="27"/>
      <c r="Q86" s="27"/>
      <c r="R86" s="284"/>
    </row>
    <row r="87" spans="1:18" s="9" customFormat="1" ht="34.5" customHeight="1" thickBot="1" x14ac:dyDescent="0.3">
      <c r="A87" s="271"/>
      <c r="B87" s="267"/>
      <c r="C87" s="40" t="s">
        <v>11</v>
      </c>
      <c r="D87" s="110" t="s">
        <v>78</v>
      </c>
      <c r="E87" s="24">
        <f>E86+1289.82</f>
        <v>11285</v>
      </c>
      <c r="F87" s="29">
        <v>5.74</v>
      </c>
      <c r="G87" s="29">
        <f>G86+1078.55</f>
        <v>32600.39</v>
      </c>
      <c r="H87" s="29">
        <f>H86+17850.49</f>
        <v>295485.92000000004</v>
      </c>
      <c r="I87" s="29">
        <f>I86+7403.57-6325.02</f>
        <v>32600.390000000003</v>
      </c>
      <c r="J87" s="29">
        <f>J86+95541.26-77690.76</f>
        <v>295485.92000000004</v>
      </c>
      <c r="K87" s="29">
        <f t="shared" si="18"/>
        <v>0</v>
      </c>
      <c r="L87" s="29">
        <f t="shared" si="18"/>
        <v>0</v>
      </c>
      <c r="M87" s="49"/>
      <c r="N87" s="57"/>
      <c r="O87" s="133"/>
      <c r="P87" s="27"/>
      <c r="Q87" s="27"/>
      <c r="R87" s="284"/>
    </row>
    <row r="88" spans="1:18" s="9" customFormat="1" ht="34.5" customHeight="1" thickBot="1" x14ac:dyDescent="0.3">
      <c r="A88" s="271"/>
      <c r="B88" s="267"/>
      <c r="C88" s="40" t="s">
        <v>11</v>
      </c>
      <c r="D88" s="146" t="s">
        <v>81</v>
      </c>
      <c r="E88" s="24">
        <f>E87+1093.17</f>
        <v>12378.17</v>
      </c>
      <c r="F88" s="29">
        <v>5.74</v>
      </c>
      <c r="G88" s="29">
        <f>G87+6274.77</f>
        <v>38875.160000000003</v>
      </c>
      <c r="H88" s="29">
        <f>H87+89639.61</f>
        <v>385125.53</v>
      </c>
      <c r="I88" s="29">
        <f>I87+6274.77</f>
        <v>38875.160000000003</v>
      </c>
      <c r="J88" s="29">
        <f>J87+89639.61</f>
        <v>385125.53</v>
      </c>
      <c r="K88" s="29">
        <f t="shared" si="18"/>
        <v>0</v>
      </c>
      <c r="L88" s="29">
        <f t="shared" si="18"/>
        <v>0</v>
      </c>
      <c r="M88" s="49"/>
      <c r="N88" s="57"/>
      <c r="O88" s="133"/>
      <c r="P88" s="27"/>
      <c r="Q88" s="27"/>
      <c r="R88" s="284"/>
    </row>
    <row r="89" spans="1:18" s="9" customFormat="1" ht="34.5" customHeight="1" thickBot="1" x14ac:dyDescent="0.3">
      <c r="A89" s="271"/>
      <c r="B89" s="267"/>
      <c r="C89" s="40" t="s">
        <v>11</v>
      </c>
      <c r="D89" s="110" t="s">
        <v>98</v>
      </c>
      <c r="E89" s="24">
        <f>E88+566.52</f>
        <v>12944.69</v>
      </c>
      <c r="F89" s="29">
        <v>5.74</v>
      </c>
      <c r="G89" s="29">
        <f>G88+0</f>
        <v>38875.160000000003</v>
      </c>
      <c r="H89" s="29">
        <f>H88+5171.33</f>
        <v>390296.86000000004</v>
      </c>
      <c r="I89" s="29">
        <f>I88+3251.83-3251.83</f>
        <v>38875.160000000003</v>
      </c>
      <c r="J89" s="29">
        <f>J88+53819.5-48648.17</f>
        <v>390296.86000000004</v>
      </c>
      <c r="K89" s="29">
        <f t="shared" ref="K89:L91" si="19">I89-G89</f>
        <v>0</v>
      </c>
      <c r="L89" s="29">
        <f t="shared" si="19"/>
        <v>0</v>
      </c>
      <c r="M89" s="49"/>
      <c r="N89" s="57"/>
      <c r="O89" s="133"/>
      <c r="P89" s="27"/>
      <c r="Q89" s="27"/>
      <c r="R89" s="284"/>
    </row>
    <row r="90" spans="1:18" s="9" customFormat="1" ht="34.5" customHeight="1" thickBot="1" x14ac:dyDescent="0.3">
      <c r="A90" s="271"/>
      <c r="B90" s="267"/>
      <c r="C90" s="40" t="s">
        <v>11</v>
      </c>
      <c r="D90" s="110" t="s">
        <v>99</v>
      </c>
      <c r="E90" s="24">
        <f>E89+546.37</f>
        <v>13491.060000000001</v>
      </c>
      <c r="F90" s="29">
        <v>5.74</v>
      </c>
      <c r="G90" s="29">
        <f>G89+0</f>
        <v>38875.160000000003</v>
      </c>
      <c r="H90" s="29">
        <f>H89+0</f>
        <v>390296.86000000004</v>
      </c>
      <c r="I90" s="29">
        <f>I89+3136.15-3136.15</f>
        <v>38875.160000000003</v>
      </c>
      <c r="J90" s="29">
        <f>J89+51904.96-51904.96</f>
        <v>390296.86000000004</v>
      </c>
      <c r="K90" s="29">
        <f t="shared" si="19"/>
        <v>0</v>
      </c>
      <c r="L90" s="29">
        <f t="shared" si="19"/>
        <v>0</v>
      </c>
      <c r="M90" s="49"/>
      <c r="N90" s="57"/>
      <c r="O90" s="154" t="s">
        <v>84</v>
      </c>
      <c r="P90" s="27"/>
      <c r="Q90" s="27"/>
      <c r="R90" s="284"/>
    </row>
    <row r="91" spans="1:18" s="9" customFormat="1" ht="34.5" customHeight="1" thickBot="1" x14ac:dyDescent="0.3">
      <c r="A91" s="271"/>
      <c r="B91" s="267"/>
      <c r="C91" s="40" t="s">
        <v>11</v>
      </c>
      <c r="D91" s="110" t="s">
        <v>103</v>
      </c>
      <c r="E91" s="24">
        <f>E90+559.99</f>
        <v>14051.050000000001</v>
      </c>
      <c r="F91" s="29">
        <v>5.74</v>
      </c>
      <c r="G91" s="29">
        <f>G90+0</f>
        <v>38875.160000000003</v>
      </c>
      <c r="H91" s="29">
        <f>H90+0</f>
        <v>390296.86000000004</v>
      </c>
      <c r="I91" s="29">
        <f>I90+3214.33-3214.33</f>
        <v>38875.160000000003</v>
      </c>
      <c r="J91" s="29">
        <f>J90+53198.86-10560-42638.86</f>
        <v>390296.86000000004</v>
      </c>
      <c r="K91" s="29">
        <f t="shared" si="19"/>
        <v>0</v>
      </c>
      <c r="L91" s="29">
        <f t="shared" si="19"/>
        <v>0</v>
      </c>
      <c r="M91" s="49"/>
      <c r="N91" s="57"/>
      <c r="O91" s="154"/>
      <c r="P91" s="27"/>
      <c r="Q91" s="27"/>
      <c r="R91" s="284"/>
    </row>
    <row r="92" spans="1:18" s="9" customFormat="1" ht="34.5" customHeight="1" thickBot="1" x14ac:dyDescent="0.3">
      <c r="A92" s="272"/>
      <c r="B92" s="268"/>
      <c r="C92" s="154" t="s">
        <v>11</v>
      </c>
      <c r="D92" s="146" t="s">
        <v>122</v>
      </c>
      <c r="E92" s="24">
        <f>E91+558.06</f>
        <v>14609.11</v>
      </c>
      <c r="F92" s="29">
        <v>5.74</v>
      </c>
      <c r="G92" s="29">
        <f>G91+0</f>
        <v>38875.160000000003</v>
      </c>
      <c r="H92" s="29">
        <f>H91+0</f>
        <v>390296.86000000004</v>
      </c>
      <c r="I92" s="29">
        <f>I91+3203.28-3203.28</f>
        <v>38875.160000000003</v>
      </c>
      <c r="J92" s="29">
        <f>J91+53015.82-53015.82</f>
        <v>390296.86000000004</v>
      </c>
      <c r="K92" s="29">
        <f t="shared" ref="K92:L94" si="20">I92-G92</f>
        <v>0</v>
      </c>
      <c r="L92" s="29">
        <f t="shared" si="20"/>
        <v>0</v>
      </c>
      <c r="M92" s="121"/>
      <c r="N92" s="194"/>
      <c r="O92" s="191"/>
      <c r="P92" s="19"/>
      <c r="Q92" s="27"/>
      <c r="R92" s="284"/>
    </row>
    <row r="93" spans="1:18" s="9" customFormat="1" ht="31.5" customHeight="1" thickBot="1" x14ac:dyDescent="0.3">
      <c r="A93" s="124"/>
      <c r="B93" s="123"/>
      <c r="C93" s="154" t="s">
        <v>11</v>
      </c>
      <c r="D93" s="146" t="s">
        <v>122</v>
      </c>
      <c r="E93" s="24">
        <f>SUM(E92)</f>
        <v>14609.11</v>
      </c>
      <c r="F93" s="140" t="s">
        <v>121</v>
      </c>
      <c r="G93" s="189">
        <f>G92/1.95583</f>
        <v>19876.553688203989</v>
      </c>
      <c r="H93" s="189">
        <f>H92/1.95583</f>
        <v>199555.61577437713</v>
      </c>
      <c r="I93" s="189">
        <f>I92/1.95583</f>
        <v>19876.553688203989</v>
      </c>
      <c r="J93" s="189">
        <f>J92/1.95583</f>
        <v>199555.61577437713</v>
      </c>
      <c r="K93" s="189">
        <f t="shared" si="20"/>
        <v>0</v>
      </c>
      <c r="L93" s="189">
        <f t="shared" si="20"/>
        <v>0</v>
      </c>
      <c r="M93" s="121"/>
      <c r="N93" s="194"/>
      <c r="O93" s="191"/>
      <c r="P93" s="19"/>
      <c r="Q93" s="27"/>
      <c r="R93" s="284"/>
    </row>
    <row r="94" spans="1:18" s="9" customFormat="1" ht="30" customHeight="1" thickBot="1" x14ac:dyDescent="0.3">
      <c r="A94" s="124" t="s">
        <v>123</v>
      </c>
      <c r="B94" s="123"/>
      <c r="C94" s="147" t="s">
        <v>11</v>
      </c>
      <c r="D94" s="188" t="s">
        <v>124</v>
      </c>
      <c r="E94" s="177">
        <f>E92+222.02</f>
        <v>14831.130000000001</v>
      </c>
      <c r="F94" s="200">
        <v>2.08</v>
      </c>
      <c r="G94" s="200">
        <f>SUM(G93)+461.8</f>
        <v>20338.353688203988</v>
      </c>
      <c r="H94" s="200">
        <f>SUM(H93)+0</f>
        <v>199555.61577437713</v>
      </c>
      <c r="I94" s="200">
        <f>SUM(I93)+461.8</f>
        <v>20338.353688203988</v>
      </c>
      <c r="J94" s="200">
        <f>SUM(J93)+10783.27</f>
        <v>210338.88577437712</v>
      </c>
      <c r="K94" s="200">
        <f t="shared" si="20"/>
        <v>0</v>
      </c>
      <c r="L94" s="200">
        <f t="shared" si="20"/>
        <v>10783.26999999999</v>
      </c>
      <c r="M94" s="181"/>
      <c r="N94" s="182"/>
      <c r="O94" s="201">
        <f>390296.86/1.95583</f>
        <v>199555.6157743771</v>
      </c>
      <c r="P94" s="19"/>
      <c r="Q94" s="27"/>
      <c r="R94" s="284"/>
    </row>
    <row r="95" spans="1:18" s="9" customFormat="1" ht="43.5" customHeight="1" thickBot="1" x14ac:dyDescent="0.3">
      <c r="A95" s="124"/>
      <c r="B95" s="123"/>
      <c r="C95" s="32" t="s">
        <v>73</v>
      </c>
      <c r="D95" s="31"/>
      <c r="E95" s="208">
        <f t="shared" ref="E95:L95" si="21">E60+E77+E94</f>
        <v>81477.410000000018</v>
      </c>
      <c r="F95" s="190"/>
      <c r="G95" s="190">
        <f>G60+G77+G94</f>
        <v>118716.20869405828</v>
      </c>
      <c r="H95" s="190">
        <f t="shared" si="21"/>
        <v>1177871.5174631742</v>
      </c>
      <c r="I95" s="190">
        <f t="shared" si="21"/>
        <v>118254.36896361137</v>
      </c>
      <c r="J95" s="190">
        <f t="shared" si="21"/>
        <v>1230922.4202906697</v>
      </c>
      <c r="K95" s="190">
        <f t="shared" si="21"/>
        <v>-461.83973044691174</v>
      </c>
      <c r="L95" s="190">
        <f t="shared" si="21"/>
        <v>53050.902827495447</v>
      </c>
      <c r="M95" s="197"/>
      <c r="N95" s="198"/>
      <c r="O95" s="199">
        <f>2241487.81/1.95583</f>
        <v>1146054.519053292</v>
      </c>
      <c r="P95" s="27"/>
      <c r="Q95" s="27"/>
      <c r="R95" s="285"/>
    </row>
    <row r="96" spans="1:18" s="12" customFormat="1" ht="24" customHeight="1" thickBot="1" x14ac:dyDescent="0.3">
      <c r="A96" s="33"/>
      <c r="B96" s="33"/>
      <c r="C96" s="59"/>
      <c r="D96" s="36"/>
      <c r="E96" s="37"/>
      <c r="F96" s="37"/>
      <c r="G96" s="37"/>
      <c r="H96" s="37"/>
      <c r="I96" s="37"/>
      <c r="J96" s="37"/>
      <c r="K96" s="37"/>
      <c r="L96" s="37"/>
      <c r="M96" s="38"/>
      <c r="N96" s="38"/>
      <c r="O96" s="38"/>
      <c r="P96" s="39"/>
      <c r="Q96" s="39"/>
      <c r="R96" s="4"/>
    </row>
    <row r="97" spans="1:18" ht="15.75" thickBot="1" x14ac:dyDescent="0.3">
      <c r="A97" s="270">
        <v>3</v>
      </c>
      <c r="B97" s="267" t="s">
        <v>32</v>
      </c>
      <c r="C97" s="53" t="s">
        <v>23</v>
      </c>
      <c r="D97" s="54" t="s">
        <v>4</v>
      </c>
      <c r="E97" s="20">
        <v>31012.05</v>
      </c>
      <c r="F97" s="16">
        <v>3.12</v>
      </c>
      <c r="G97" s="16">
        <v>96757.6</v>
      </c>
      <c r="H97" s="16">
        <v>93036.160000000003</v>
      </c>
      <c r="I97" s="16">
        <v>96757.6</v>
      </c>
      <c r="J97" s="16">
        <v>93036.15</v>
      </c>
      <c r="K97" s="16">
        <f t="shared" ref="K97:L101" si="22">I97-G97</f>
        <v>0</v>
      </c>
      <c r="L97" s="16">
        <f t="shared" si="22"/>
        <v>-1.0000000009313226E-2</v>
      </c>
      <c r="M97" s="43"/>
      <c r="N97" s="43"/>
      <c r="O97" s="44"/>
      <c r="P97" s="45"/>
      <c r="Q97" s="45"/>
      <c r="R97" s="283" t="s">
        <v>96</v>
      </c>
    </row>
    <row r="98" spans="1:18" ht="15.75" thickBot="1" x14ac:dyDescent="0.3">
      <c r="A98" s="271"/>
      <c r="B98" s="267"/>
      <c r="C98" s="53" t="s">
        <v>23</v>
      </c>
      <c r="D98" s="54" t="s">
        <v>5</v>
      </c>
      <c r="E98" s="20">
        <f>22645.91+E97</f>
        <v>53657.96</v>
      </c>
      <c r="F98" s="16">
        <v>3.1230000000000002</v>
      </c>
      <c r="G98" s="16">
        <f>70657.52+G97</f>
        <v>167415.12</v>
      </c>
      <c r="H98" s="16">
        <f>203820.93+H97</f>
        <v>296857.08999999997</v>
      </c>
      <c r="I98" s="16">
        <f>70655.24+I97</f>
        <v>167412.84000000003</v>
      </c>
      <c r="J98" s="16">
        <f>203813.19+J97</f>
        <v>296849.33999999997</v>
      </c>
      <c r="K98" s="16">
        <f t="shared" si="22"/>
        <v>-2.279999999969732</v>
      </c>
      <c r="L98" s="16">
        <f t="shared" si="22"/>
        <v>-7.75</v>
      </c>
      <c r="M98" s="43"/>
      <c r="N98" s="43"/>
      <c r="O98" s="44"/>
      <c r="P98" s="45"/>
      <c r="Q98" s="45"/>
      <c r="R98" s="284"/>
    </row>
    <row r="99" spans="1:18" ht="15.75" thickBot="1" x14ac:dyDescent="0.3">
      <c r="A99" s="271"/>
      <c r="B99" s="267"/>
      <c r="C99" s="53" t="s">
        <v>23</v>
      </c>
      <c r="D99" s="54" t="s">
        <v>6</v>
      </c>
      <c r="E99" s="14">
        <f>17531.79+E98</f>
        <v>71189.75</v>
      </c>
      <c r="F99" s="15">
        <v>3.12</v>
      </c>
      <c r="G99" s="16">
        <f>54698.63+G98</f>
        <v>222113.75</v>
      </c>
      <c r="H99" s="16">
        <f>262974.75+H98</f>
        <v>559831.84</v>
      </c>
      <c r="I99" s="16">
        <f>54699.18+I98</f>
        <v>222112.02000000002</v>
      </c>
      <c r="J99" s="16">
        <f>262976.85+J98</f>
        <v>559826.18999999994</v>
      </c>
      <c r="K99" s="16">
        <f t="shared" si="22"/>
        <v>-1.7299999999813735</v>
      </c>
      <c r="L99" s="16">
        <f t="shared" si="22"/>
        <v>-5.6500000000232831</v>
      </c>
      <c r="M99" s="49"/>
      <c r="N99" s="49"/>
      <c r="O99" s="44"/>
      <c r="P99" s="45"/>
      <c r="Q99" s="45"/>
      <c r="R99" s="284"/>
    </row>
    <row r="100" spans="1:18" ht="15.75" thickBot="1" x14ac:dyDescent="0.3">
      <c r="A100" s="271"/>
      <c r="B100" s="267"/>
      <c r="C100" s="40" t="s">
        <v>23</v>
      </c>
      <c r="D100" s="13" t="s">
        <v>7</v>
      </c>
      <c r="E100" s="14">
        <f>18570+E99</f>
        <v>89759.75</v>
      </c>
      <c r="F100" s="15">
        <v>3.12</v>
      </c>
      <c r="G100" s="15">
        <f>57940.29+G99</f>
        <v>280054.03999999998</v>
      </c>
      <c r="H100" s="16">
        <f>408544.18+H99</f>
        <v>968376.02</v>
      </c>
      <c r="I100" s="16">
        <f>57938.99+I99</f>
        <v>280051.01</v>
      </c>
      <c r="J100" s="16">
        <f>408544.18+J99</f>
        <v>968370.36999999988</v>
      </c>
      <c r="K100" s="16">
        <f t="shared" si="22"/>
        <v>-3.029999999969732</v>
      </c>
      <c r="L100" s="16">
        <f t="shared" si="22"/>
        <v>-5.6500000001396984</v>
      </c>
      <c r="M100" s="49"/>
      <c r="N100" s="49"/>
      <c r="O100" s="44"/>
      <c r="P100" s="45"/>
      <c r="Q100" s="45"/>
      <c r="R100" s="284"/>
    </row>
    <row r="101" spans="1:18" ht="15.75" thickBot="1" x14ac:dyDescent="0.3">
      <c r="A101" s="271"/>
      <c r="B101" s="267"/>
      <c r="C101" s="40" t="s">
        <v>23</v>
      </c>
      <c r="D101" s="13" t="s">
        <v>8</v>
      </c>
      <c r="E101" s="14">
        <f>17742.91+E100</f>
        <v>107502.66</v>
      </c>
      <c r="F101" s="15">
        <v>3.12</v>
      </c>
      <c r="G101" s="15">
        <f>55357.89+G100</f>
        <v>335411.93</v>
      </c>
      <c r="H101" s="16">
        <f>496801.48+H100</f>
        <v>1465177.5</v>
      </c>
      <c r="I101" s="16">
        <f>55357.88+I100</f>
        <v>335408.89</v>
      </c>
      <c r="J101" s="16">
        <f>496801.48+J100</f>
        <v>1465171.8499999999</v>
      </c>
      <c r="K101" s="16">
        <f t="shared" si="22"/>
        <v>-3.0399999999790452</v>
      </c>
      <c r="L101" s="16">
        <f t="shared" si="22"/>
        <v>-5.6500000001396984</v>
      </c>
      <c r="M101" s="49"/>
      <c r="N101" s="49"/>
      <c r="O101" s="58"/>
      <c r="P101" s="45"/>
      <c r="Q101" s="45"/>
      <c r="R101" s="284"/>
    </row>
    <row r="102" spans="1:18" ht="101.25" customHeight="1" thickBot="1" x14ac:dyDescent="0.3">
      <c r="A102" s="271"/>
      <c r="B102" s="267"/>
      <c r="C102" s="40" t="s">
        <v>23</v>
      </c>
      <c r="D102" s="13" t="s">
        <v>21</v>
      </c>
      <c r="E102" s="20">
        <f>15081.37+E101</f>
        <v>122584.03</v>
      </c>
      <c r="F102" s="16">
        <v>3.12</v>
      </c>
      <c r="G102" s="16">
        <f>47053.89+G101</f>
        <v>382465.82</v>
      </c>
      <c r="H102" s="16">
        <f>542929.32+H101</f>
        <v>2008106.8199999998</v>
      </c>
      <c r="I102" s="16">
        <f>47053.87+I101</f>
        <v>382462.76</v>
      </c>
      <c r="J102" s="16">
        <f>542929.32+J101</f>
        <v>2008101.17</v>
      </c>
      <c r="K102" s="16">
        <f>I102-G102</f>
        <v>-3.0599999999976717</v>
      </c>
      <c r="L102" s="16">
        <f>J102-H102</f>
        <v>-5.6499999999068677</v>
      </c>
      <c r="M102" s="49"/>
      <c r="N102" s="49"/>
      <c r="O102" s="60" t="s">
        <v>49</v>
      </c>
      <c r="P102" s="45"/>
      <c r="Q102" s="45"/>
      <c r="R102" s="284"/>
    </row>
    <row r="103" spans="1:18" ht="38.25" customHeight="1" thickBot="1" x14ac:dyDescent="0.3">
      <c r="A103" s="271"/>
      <c r="B103" s="267"/>
      <c r="C103" s="40" t="s">
        <v>23</v>
      </c>
      <c r="D103" s="54" t="s">
        <v>65</v>
      </c>
      <c r="E103" s="24">
        <f>10291.34+E102</f>
        <v>132875.37</v>
      </c>
      <c r="F103" s="16">
        <v>1.6</v>
      </c>
      <c r="G103" s="16">
        <f>16466.14+G102</f>
        <v>398931.96</v>
      </c>
      <c r="H103" s="16">
        <f>411653.6+H102</f>
        <v>2419760.42</v>
      </c>
      <c r="I103" s="29">
        <f>16466.14+I102</f>
        <v>398928.9</v>
      </c>
      <c r="J103" s="29">
        <f>411653.6+J102</f>
        <v>2419754.77</v>
      </c>
      <c r="K103" s="29">
        <f t="shared" ref="K103:K111" si="23">I103-G103</f>
        <v>-3.0599999999976717</v>
      </c>
      <c r="L103" s="29">
        <f>J103-H103</f>
        <v>-5.6499999999068677</v>
      </c>
      <c r="M103" s="49"/>
      <c r="N103" s="49"/>
      <c r="O103" s="61"/>
      <c r="P103" s="45"/>
      <c r="Q103" s="45"/>
      <c r="R103" s="284"/>
    </row>
    <row r="104" spans="1:18" ht="36" customHeight="1" thickBot="1" x14ac:dyDescent="0.3">
      <c r="A104" s="271"/>
      <c r="B104" s="267"/>
      <c r="C104" s="40" t="s">
        <v>23</v>
      </c>
      <c r="D104" s="54" t="s">
        <v>39</v>
      </c>
      <c r="E104" s="24">
        <f>2413.12+1930.12+2000.97+1805.56+E103</f>
        <v>141025.13999999998</v>
      </c>
      <c r="F104" s="16">
        <v>1.6</v>
      </c>
      <c r="G104" s="16">
        <f>13039.63+G103</f>
        <v>411971.59</v>
      </c>
      <c r="H104" s="16">
        <f>21541.95+89842.95+31974.75+103058.55+120321.45+H103</f>
        <v>2786500.07</v>
      </c>
      <c r="I104" s="29">
        <f>13039.63+I103</f>
        <v>411968.53</v>
      </c>
      <c r="J104" s="29">
        <f>108590.4+86855.4+90043.65+81250.2+J103</f>
        <v>2786494.42</v>
      </c>
      <c r="K104" s="29">
        <f t="shared" si="23"/>
        <v>-3.0599999999976717</v>
      </c>
      <c r="L104" s="29">
        <f>J104-H104</f>
        <v>-5.6499999999068677</v>
      </c>
      <c r="M104" s="49"/>
      <c r="N104" s="49"/>
      <c r="O104" s="61"/>
      <c r="P104" s="45"/>
      <c r="Q104" s="45"/>
      <c r="R104" s="284"/>
    </row>
    <row r="105" spans="1:18" ht="37.5" customHeight="1" thickBot="1" x14ac:dyDescent="0.3">
      <c r="A105" s="271"/>
      <c r="B105" s="267"/>
      <c r="C105" s="40" t="s">
        <v>35</v>
      </c>
      <c r="D105" s="54" t="s">
        <v>39</v>
      </c>
      <c r="E105" s="24">
        <f>306.74+307.06+272.3+280.42</f>
        <v>1166.52</v>
      </c>
      <c r="F105" s="16">
        <v>1.6</v>
      </c>
      <c r="G105" s="16">
        <f>76.84+439.34+197.92+536.11+616.23</f>
        <v>1866.44</v>
      </c>
      <c r="H105" s="16">
        <f>2160.9+12356.1+5566.5+15078.6+17331.3</f>
        <v>52493.399999999994</v>
      </c>
      <c r="I105" s="29">
        <f>490.79+491.3+435.67+448.67</f>
        <v>1866.43</v>
      </c>
      <c r="J105" s="29">
        <f>13803.3+13817.7+12253.5+12618.9</f>
        <v>52493.4</v>
      </c>
      <c r="K105" s="29">
        <f t="shared" si="23"/>
        <v>-9.9999999999909051E-3</v>
      </c>
      <c r="L105" s="29">
        <f>J105-H105</f>
        <v>0</v>
      </c>
      <c r="M105" s="49"/>
      <c r="N105" s="49"/>
      <c r="O105" s="61"/>
      <c r="P105" s="45"/>
      <c r="Q105" s="45"/>
      <c r="R105" s="284"/>
    </row>
    <row r="106" spans="1:18" s="9" customFormat="1" ht="30.75" customHeight="1" thickBot="1" x14ac:dyDescent="0.3">
      <c r="A106" s="271"/>
      <c r="B106" s="267"/>
      <c r="C106" s="40" t="s">
        <v>23</v>
      </c>
      <c r="D106" s="13" t="s">
        <v>66</v>
      </c>
      <c r="E106" s="24">
        <f>7112.58+E104</f>
        <v>148137.71999999997</v>
      </c>
      <c r="F106" s="16">
        <v>1.6</v>
      </c>
      <c r="G106" s="16">
        <f>11380.11+G104</f>
        <v>423351.7</v>
      </c>
      <c r="H106" s="16">
        <f>405417.06+H104</f>
        <v>3191917.13</v>
      </c>
      <c r="I106" s="29">
        <f>11380.13+I104</f>
        <v>423348.66000000003</v>
      </c>
      <c r="J106" s="29">
        <f>405417.06+J104</f>
        <v>3191911.48</v>
      </c>
      <c r="K106" s="29">
        <f t="shared" si="23"/>
        <v>-3.0399999999790452</v>
      </c>
      <c r="L106" s="29">
        <f t="shared" ref="L106:L111" si="24">J106-H106</f>
        <v>-5.6499999999068677</v>
      </c>
      <c r="M106" s="49"/>
      <c r="N106" s="49"/>
      <c r="O106" s="62"/>
      <c r="P106" s="44"/>
      <c r="Q106" s="44"/>
      <c r="R106" s="284"/>
    </row>
    <row r="107" spans="1:18" s="9" customFormat="1" ht="29.25" customHeight="1" thickBot="1" x14ac:dyDescent="0.3">
      <c r="A107" s="271"/>
      <c r="B107" s="267"/>
      <c r="C107" s="40" t="s">
        <v>35</v>
      </c>
      <c r="D107" s="54" t="s">
        <v>66</v>
      </c>
      <c r="E107" s="24">
        <f>1713.23+E105</f>
        <v>2879.75</v>
      </c>
      <c r="F107" s="16">
        <v>1.6</v>
      </c>
      <c r="G107" s="16">
        <f>2741.19+G105</f>
        <v>4607.63</v>
      </c>
      <c r="H107" s="16">
        <f>97654.11+H105</f>
        <v>150147.51</v>
      </c>
      <c r="I107" s="29">
        <f>2741.17+I105</f>
        <v>4607.6000000000004</v>
      </c>
      <c r="J107" s="29">
        <f>97654.11+J105</f>
        <v>150147.51</v>
      </c>
      <c r="K107" s="29">
        <f t="shared" si="23"/>
        <v>-2.9999999999745341E-2</v>
      </c>
      <c r="L107" s="29">
        <f t="shared" si="24"/>
        <v>0</v>
      </c>
      <c r="M107" s="49"/>
      <c r="N107" s="49"/>
      <c r="O107" s="61"/>
      <c r="P107" s="44"/>
      <c r="Q107" s="44"/>
      <c r="R107" s="284"/>
    </row>
    <row r="108" spans="1:18" s="9" customFormat="1" ht="63.75" customHeight="1" thickBot="1" x14ac:dyDescent="0.3">
      <c r="A108" s="271"/>
      <c r="B108" s="267"/>
      <c r="C108" s="40" t="s">
        <v>23</v>
      </c>
      <c r="D108" s="110" t="s">
        <v>78</v>
      </c>
      <c r="E108" s="24">
        <f>E106+7916.64</f>
        <v>156054.35999999999</v>
      </c>
      <c r="F108" s="29">
        <v>1.6</v>
      </c>
      <c r="G108" s="29">
        <f>G106+10878.49-8782.36</f>
        <v>425447.83</v>
      </c>
      <c r="H108" s="29">
        <f>H106+517663.62-393206.02-62228.8</f>
        <v>3254145.93</v>
      </c>
      <c r="I108" s="29">
        <f>I106+12666.62-10570.49</f>
        <v>425444.79000000004</v>
      </c>
      <c r="J108" s="29">
        <f>J106+594776.64-470319.04-62228.8</f>
        <v>3254140.2800000003</v>
      </c>
      <c r="K108" s="29">
        <f t="shared" si="23"/>
        <v>-3.0399999999790452</v>
      </c>
      <c r="L108" s="29">
        <f t="shared" si="24"/>
        <v>-5.6499999999068677</v>
      </c>
      <c r="M108" s="49"/>
      <c r="N108" s="49"/>
      <c r="O108" s="163" t="s">
        <v>95</v>
      </c>
      <c r="P108" s="44"/>
      <c r="Q108" s="44"/>
      <c r="R108" s="284"/>
    </row>
    <row r="109" spans="1:18" s="9" customFormat="1" ht="31.5" customHeight="1" thickBot="1" x14ac:dyDescent="0.3">
      <c r="A109" s="271"/>
      <c r="B109" s="267"/>
      <c r="C109" s="40" t="s">
        <v>35</v>
      </c>
      <c r="D109" s="110" t="s">
        <v>78</v>
      </c>
      <c r="E109" s="24">
        <f>E107+1087.92</f>
        <v>3967.67</v>
      </c>
      <c r="F109" s="29">
        <v>1.6</v>
      </c>
      <c r="G109" s="29">
        <f>G107+1358.91-925.25</f>
        <v>5041.29</v>
      </c>
      <c r="H109" s="29">
        <f>H107+67224.16-41475.36</f>
        <v>175896.31</v>
      </c>
      <c r="I109" s="29">
        <f>I107+1740.67-1307.01</f>
        <v>5041.26</v>
      </c>
      <c r="J109" s="29">
        <f>J107+83687.56-57938.76</f>
        <v>175896.31</v>
      </c>
      <c r="K109" s="29">
        <f t="shared" si="23"/>
        <v>-2.9999999999745341E-2</v>
      </c>
      <c r="L109" s="29">
        <f t="shared" si="24"/>
        <v>0</v>
      </c>
      <c r="M109" s="49"/>
      <c r="N109" s="49"/>
      <c r="O109" s="61"/>
      <c r="P109" s="44"/>
      <c r="Q109" s="44"/>
      <c r="R109" s="284"/>
    </row>
    <row r="110" spans="1:18" s="9" customFormat="1" ht="32.25" customHeight="1" thickBot="1" x14ac:dyDescent="0.3">
      <c r="A110" s="271"/>
      <c r="B110" s="267"/>
      <c r="C110" s="40" t="s">
        <v>23</v>
      </c>
      <c r="D110" s="110" t="s">
        <v>81</v>
      </c>
      <c r="E110" s="24">
        <f>E108+9283.41</f>
        <v>165337.76999999999</v>
      </c>
      <c r="F110" s="29">
        <v>1.6</v>
      </c>
      <c r="G110" s="29">
        <f>G108+14853.4</f>
        <v>440301.23000000004</v>
      </c>
      <c r="H110" s="29">
        <f>H108+761239.62</f>
        <v>4015385.5500000003</v>
      </c>
      <c r="I110" s="29">
        <f>I108+14853.46</f>
        <v>440298.25000000006</v>
      </c>
      <c r="J110" s="29">
        <f>J108+761239.62</f>
        <v>4015379.9000000004</v>
      </c>
      <c r="K110" s="29">
        <f t="shared" si="23"/>
        <v>-2.9799999999813735</v>
      </c>
      <c r="L110" s="29">
        <f t="shared" si="24"/>
        <v>-5.6499999999068677</v>
      </c>
      <c r="M110" s="49"/>
      <c r="N110" s="49"/>
      <c r="O110" s="61"/>
      <c r="P110" s="44"/>
      <c r="Q110" s="44"/>
      <c r="R110" s="284"/>
    </row>
    <row r="111" spans="1:18" s="9" customFormat="1" ht="31.5" customHeight="1" thickBot="1" x14ac:dyDescent="0.3">
      <c r="A111" s="271"/>
      <c r="B111" s="267"/>
      <c r="C111" s="40" t="s">
        <v>35</v>
      </c>
      <c r="D111" s="110" t="s">
        <v>81</v>
      </c>
      <c r="E111" s="24">
        <f>E109+1365.18</f>
        <v>5332.85</v>
      </c>
      <c r="F111" s="29">
        <v>1.6</v>
      </c>
      <c r="G111" s="29">
        <f>G109+2184.32</f>
        <v>7225.6100000000006</v>
      </c>
      <c r="H111" s="29">
        <f>H109+111944.76</f>
        <v>287841.07</v>
      </c>
      <c r="I111" s="29">
        <f>I109+2184.29</f>
        <v>7225.55</v>
      </c>
      <c r="J111" s="29">
        <f>J109+111944.76</f>
        <v>287841.07</v>
      </c>
      <c r="K111" s="29">
        <f t="shared" si="23"/>
        <v>-6.0000000000400178E-2</v>
      </c>
      <c r="L111" s="29">
        <f t="shared" si="24"/>
        <v>0</v>
      </c>
      <c r="M111" s="49"/>
      <c r="N111" s="49"/>
      <c r="O111" s="61"/>
      <c r="P111" s="44"/>
      <c r="Q111" s="44"/>
      <c r="R111" s="284"/>
    </row>
    <row r="112" spans="1:18" s="9" customFormat="1" ht="31.5" customHeight="1" thickBot="1" x14ac:dyDescent="0.3">
      <c r="A112" s="271"/>
      <c r="B112" s="267"/>
      <c r="C112" s="154" t="s">
        <v>23</v>
      </c>
      <c r="D112" s="110" t="s">
        <v>98</v>
      </c>
      <c r="E112" s="24">
        <f>E110+8174.38</f>
        <v>173512.15</v>
      </c>
      <c r="F112" s="29">
        <v>1.6</v>
      </c>
      <c r="G112" s="29">
        <f t="shared" ref="G112:H115" si="25">G110+0</f>
        <v>440301.23000000004</v>
      </c>
      <c r="H112" s="29">
        <f t="shared" si="25"/>
        <v>4015385.5500000003</v>
      </c>
      <c r="I112" s="29">
        <f>I110+13079.01-13079.01</f>
        <v>440298.25000000006</v>
      </c>
      <c r="J112" s="29">
        <f>J110+776566.1-776566.1</f>
        <v>4015379.9</v>
      </c>
      <c r="K112" s="29">
        <f t="shared" ref="K112:K132" si="26">I112-G112</f>
        <v>-2.9799999999813735</v>
      </c>
      <c r="L112" s="29">
        <f t="shared" ref="L112:L132" si="27">J112-H112</f>
        <v>-5.650000000372529</v>
      </c>
      <c r="M112" s="49"/>
      <c r="N112" s="49"/>
      <c r="O112" s="137"/>
      <c r="P112" s="44"/>
      <c r="Q112" s="44"/>
      <c r="R112" s="284"/>
    </row>
    <row r="113" spans="1:18" s="9" customFormat="1" ht="32.25" customHeight="1" thickBot="1" x14ac:dyDescent="0.3">
      <c r="A113" s="271"/>
      <c r="B113" s="267"/>
      <c r="C113" s="154" t="s">
        <v>35</v>
      </c>
      <c r="D113" s="110" t="s">
        <v>98</v>
      </c>
      <c r="E113" s="24">
        <f>E111+991.57</f>
        <v>6324.42</v>
      </c>
      <c r="F113" s="29">
        <v>1.6</v>
      </c>
      <c r="G113" s="29">
        <f t="shared" si="25"/>
        <v>7225.6100000000006</v>
      </c>
      <c r="H113" s="29">
        <f t="shared" si="25"/>
        <v>287841.07</v>
      </c>
      <c r="I113" s="29">
        <f>I111+1586.51-1586.51</f>
        <v>7225.5499999999993</v>
      </c>
      <c r="J113" s="29">
        <f>J111+94199.15-94199.15</f>
        <v>287841.06999999995</v>
      </c>
      <c r="K113" s="29">
        <f t="shared" si="26"/>
        <v>-6.0000000001309672E-2</v>
      </c>
      <c r="L113" s="29">
        <f t="shared" si="27"/>
        <v>0</v>
      </c>
      <c r="M113" s="49"/>
      <c r="N113" s="49"/>
      <c r="O113" s="61"/>
      <c r="P113" s="44"/>
      <c r="Q113" s="44"/>
      <c r="R113" s="284"/>
    </row>
    <row r="114" spans="1:18" s="9" customFormat="1" ht="29.25" customHeight="1" thickBot="1" x14ac:dyDescent="0.3">
      <c r="A114" s="271"/>
      <c r="B114" s="267"/>
      <c r="C114" s="154" t="s">
        <v>23</v>
      </c>
      <c r="D114" s="110" t="s">
        <v>99</v>
      </c>
      <c r="E114" s="24">
        <f>E112+8089.06</f>
        <v>181601.21</v>
      </c>
      <c r="F114" s="29">
        <v>1.6</v>
      </c>
      <c r="G114" s="29">
        <f t="shared" si="25"/>
        <v>440301.23000000004</v>
      </c>
      <c r="H114" s="29">
        <f t="shared" si="25"/>
        <v>4015385.5500000003</v>
      </c>
      <c r="I114" s="29">
        <f>I112+12942.5-12942.5</f>
        <v>440298.25000000006</v>
      </c>
      <c r="J114" s="29">
        <f>J112+768460.7-768460.7</f>
        <v>4015379.8999999994</v>
      </c>
      <c r="K114" s="29">
        <f t="shared" si="26"/>
        <v>-2.9799999999813735</v>
      </c>
      <c r="L114" s="29">
        <f t="shared" si="27"/>
        <v>-5.6500000008381903</v>
      </c>
      <c r="M114" s="49"/>
      <c r="N114" s="49"/>
      <c r="O114" s="61"/>
      <c r="P114" s="44"/>
      <c r="Q114" s="44"/>
      <c r="R114" s="284"/>
    </row>
    <row r="115" spans="1:18" s="9" customFormat="1" ht="27" customHeight="1" thickBot="1" x14ac:dyDescent="0.3">
      <c r="A115" s="271"/>
      <c r="B115" s="267"/>
      <c r="C115" s="154" t="s">
        <v>35</v>
      </c>
      <c r="D115" s="110" t="s">
        <v>99</v>
      </c>
      <c r="E115" s="24">
        <f>E113+932.36</f>
        <v>7256.78</v>
      </c>
      <c r="F115" s="29">
        <v>1.6</v>
      </c>
      <c r="G115" s="29">
        <f t="shared" si="25"/>
        <v>7225.6100000000006</v>
      </c>
      <c r="H115" s="29">
        <f t="shared" si="25"/>
        <v>287841.07</v>
      </c>
      <c r="I115" s="29">
        <f>I113+1491.78-1491.78</f>
        <v>7225.55</v>
      </c>
      <c r="J115" s="29">
        <f>J113+88574.2-88574.2</f>
        <v>287841.06999999995</v>
      </c>
      <c r="K115" s="29">
        <f t="shared" si="26"/>
        <v>-6.0000000000400178E-2</v>
      </c>
      <c r="L115" s="29">
        <f t="shared" ref="L115:L123" si="28">J115-H115</f>
        <v>0</v>
      </c>
      <c r="M115" s="49"/>
      <c r="N115" s="49"/>
      <c r="O115" s="137"/>
      <c r="P115" s="44"/>
      <c r="Q115" s="44"/>
      <c r="R115" s="284"/>
    </row>
    <row r="116" spans="1:18" s="9" customFormat="1" ht="28.5" customHeight="1" thickBot="1" x14ac:dyDescent="0.3">
      <c r="A116" s="271"/>
      <c r="B116" s="267"/>
      <c r="C116" s="154" t="s">
        <v>23</v>
      </c>
      <c r="D116" s="110" t="s">
        <v>103</v>
      </c>
      <c r="E116" s="24">
        <f>E114+7995.15</f>
        <v>189596.36</v>
      </c>
      <c r="F116" s="29">
        <v>1.6</v>
      </c>
      <c r="G116" s="29">
        <f>G114+7588.39</f>
        <v>447889.62000000005</v>
      </c>
      <c r="H116" s="29">
        <f>H114+450560.65</f>
        <v>4465946.2</v>
      </c>
      <c r="I116" s="29">
        <f>I114+12792.24-5203.85</f>
        <v>447886.64000000007</v>
      </c>
      <c r="J116" s="29">
        <f>J114+759539.25-308978.6</f>
        <v>4465940.55</v>
      </c>
      <c r="K116" s="29">
        <f t="shared" si="26"/>
        <v>-2.9799999999813735</v>
      </c>
      <c r="L116" s="29">
        <f t="shared" si="28"/>
        <v>-5.650000000372529</v>
      </c>
      <c r="M116" s="49"/>
      <c r="N116" s="49"/>
      <c r="O116" s="61"/>
      <c r="P116" s="44"/>
      <c r="Q116" s="44"/>
      <c r="R116" s="284"/>
    </row>
    <row r="117" spans="1:18" s="9" customFormat="1" ht="27" customHeight="1" thickBot="1" x14ac:dyDescent="0.3">
      <c r="A117" s="271"/>
      <c r="B117" s="267"/>
      <c r="C117" s="154" t="s">
        <v>35</v>
      </c>
      <c r="D117" s="110" t="s">
        <v>103</v>
      </c>
      <c r="E117" s="24">
        <f>E115+713.3</f>
        <v>7970.08</v>
      </c>
      <c r="F117" s="29">
        <v>1.6</v>
      </c>
      <c r="G117" s="29">
        <f>G115+573.53</f>
        <v>7799.14</v>
      </c>
      <c r="H117" s="29">
        <f>H115+34053.7</f>
        <v>321894.77</v>
      </c>
      <c r="I117" s="29">
        <f>I115+1141.28-567.75</f>
        <v>7799.08</v>
      </c>
      <c r="J117" s="29">
        <f>J115+67763.5-33709.8</f>
        <v>321894.76999999996</v>
      </c>
      <c r="K117" s="29">
        <f t="shared" si="26"/>
        <v>-6.0000000000400178E-2</v>
      </c>
      <c r="L117" s="29">
        <f t="shared" si="28"/>
        <v>0</v>
      </c>
      <c r="M117" s="49"/>
      <c r="N117" s="49"/>
      <c r="O117" s="61"/>
      <c r="P117" s="44"/>
      <c r="Q117" s="44"/>
      <c r="R117" s="284"/>
    </row>
    <row r="118" spans="1:18" s="9" customFormat="1" ht="28.5" customHeight="1" thickBot="1" x14ac:dyDescent="0.3">
      <c r="A118" s="271"/>
      <c r="B118" s="267"/>
      <c r="C118" s="154" t="s">
        <v>23</v>
      </c>
      <c r="D118" s="146" t="s">
        <v>119</v>
      </c>
      <c r="E118" s="24">
        <f>E116+9937.68</f>
        <v>199534.03999999998</v>
      </c>
      <c r="F118" s="29">
        <v>1.6</v>
      </c>
      <c r="G118" s="29">
        <f>G116+0</f>
        <v>447889.62000000005</v>
      </c>
      <c r="H118" s="29">
        <f>H116+104085.75</f>
        <v>4570031.95</v>
      </c>
      <c r="I118" s="29">
        <f>I116+15900.29-15900.29</f>
        <v>447886.64000000007</v>
      </c>
      <c r="J118" s="29">
        <f>J116+944079.6-839988.19-0.01</f>
        <v>4570031.9499999993</v>
      </c>
      <c r="K118" s="29">
        <f t="shared" ref="K118:K123" si="29">I118-G118</f>
        <v>-2.9799999999813735</v>
      </c>
      <c r="L118" s="29">
        <f t="shared" si="28"/>
        <v>0</v>
      </c>
      <c r="M118" s="49"/>
      <c r="N118" s="49"/>
      <c r="O118" s="61"/>
      <c r="P118" s="44"/>
      <c r="Q118" s="44"/>
      <c r="R118" s="284"/>
    </row>
    <row r="119" spans="1:18" s="9" customFormat="1" ht="25.5" customHeight="1" thickBot="1" x14ac:dyDescent="0.3">
      <c r="A119" s="271"/>
      <c r="B119" s="267"/>
      <c r="C119" s="154" t="s">
        <v>35</v>
      </c>
      <c r="D119" s="146" t="s">
        <v>119</v>
      </c>
      <c r="E119" s="24">
        <f>E117+767.2</f>
        <v>8737.2800000000007</v>
      </c>
      <c r="F119" s="29">
        <v>1.6</v>
      </c>
      <c r="G119" s="29">
        <f>G117+0</f>
        <v>7799.14</v>
      </c>
      <c r="H119" s="29">
        <f>H117+0</f>
        <v>321894.77</v>
      </c>
      <c r="I119" s="29">
        <f>I117+1227.52-1227.52</f>
        <v>7799.08</v>
      </c>
      <c r="J119" s="29">
        <f>J117+72884-72884</f>
        <v>321894.76999999996</v>
      </c>
      <c r="K119" s="29">
        <f t="shared" si="29"/>
        <v>-6.0000000000400178E-2</v>
      </c>
      <c r="L119" s="29">
        <f t="shared" si="28"/>
        <v>0</v>
      </c>
      <c r="M119" s="49"/>
      <c r="N119" s="49"/>
      <c r="O119" s="61"/>
      <c r="P119" s="44"/>
      <c r="Q119" s="44"/>
      <c r="R119" s="284"/>
    </row>
    <row r="120" spans="1:18" s="9" customFormat="1" ht="25.5" customHeight="1" thickBot="1" x14ac:dyDescent="0.3">
      <c r="A120" s="271"/>
      <c r="B120" s="267"/>
      <c r="C120" s="154" t="s">
        <v>23</v>
      </c>
      <c r="D120" s="146" t="s">
        <v>119</v>
      </c>
      <c r="E120" s="24">
        <f>E118</f>
        <v>199534.03999999998</v>
      </c>
      <c r="F120" s="274" t="s">
        <v>121</v>
      </c>
      <c r="G120" s="189">
        <f t="shared" ref="G120:J121" si="30">G118/1.95583</f>
        <v>229002.32637805949</v>
      </c>
      <c r="H120" s="189">
        <f t="shared" si="30"/>
        <v>2336620.2328423229</v>
      </c>
      <c r="I120" s="189">
        <f t="shared" si="30"/>
        <v>229000.80272825353</v>
      </c>
      <c r="J120" s="189">
        <f t="shared" si="30"/>
        <v>2336620.2328423224</v>
      </c>
      <c r="K120" s="189">
        <f t="shared" si="29"/>
        <v>-1.5236498059530277</v>
      </c>
      <c r="L120" s="189">
        <f t="shared" si="28"/>
        <v>0</v>
      </c>
      <c r="M120" s="49"/>
      <c r="N120" s="49"/>
      <c r="O120" s="61"/>
      <c r="P120" s="44"/>
      <c r="Q120" s="44"/>
      <c r="R120" s="284"/>
    </row>
    <row r="121" spans="1:18" s="9" customFormat="1" ht="25.5" customHeight="1" thickBot="1" x14ac:dyDescent="0.3">
      <c r="A121" s="271"/>
      <c r="B121" s="267"/>
      <c r="C121" s="154" t="s">
        <v>35</v>
      </c>
      <c r="D121" s="146" t="s">
        <v>119</v>
      </c>
      <c r="E121" s="24">
        <f>E119</f>
        <v>8737.2800000000007</v>
      </c>
      <c r="F121" s="275"/>
      <c r="G121" s="189">
        <f t="shared" si="30"/>
        <v>3987.6369623126757</v>
      </c>
      <c r="H121" s="189">
        <f t="shared" si="30"/>
        <v>164582.1825005241</v>
      </c>
      <c r="I121" s="189">
        <f t="shared" si="30"/>
        <v>3987.6062847998037</v>
      </c>
      <c r="J121" s="189">
        <f t="shared" si="30"/>
        <v>164582.18250052407</v>
      </c>
      <c r="K121" s="189">
        <f t="shared" si="29"/>
        <v>-3.0677512871989165E-2</v>
      </c>
      <c r="L121" s="189">
        <f t="shared" si="28"/>
        <v>0</v>
      </c>
      <c r="M121" s="49"/>
      <c r="N121" s="49"/>
      <c r="O121" s="61"/>
      <c r="P121" s="44"/>
      <c r="Q121" s="44"/>
      <c r="R121" s="284"/>
    </row>
    <row r="122" spans="1:18" s="9" customFormat="1" ht="25.5" customHeight="1" thickBot="1" x14ac:dyDescent="0.3">
      <c r="A122" s="271"/>
      <c r="B122" s="267"/>
      <c r="C122" s="147" t="s">
        <v>23</v>
      </c>
      <c r="D122" s="187" t="s">
        <v>124</v>
      </c>
      <c r="E122" s="24">
        <f>E120+5776.05</f>
        <v>205310.08999999997</v>
      </c>
      <c r="F122" s="189">
        <v>0.82</v>
      </c>
      <c r="G122" s="189">
        <f>SUM(G120)+4734.83</f>
        <v>233737.15637805947</v>
      </c>
      <c r="H122" s="189">
        <f>SUM(H120)+0</f>
        <v>2336620.2328423229</v>
      </c>
      <c r="I122" s="189">
        <f>SUM(I120)+4736.35</f>
        <v>233737.15272825354</v>
      </c>
      <c r="J122" s="189">
        <f>SUM(J120)+280542.75</f>
        <v>2617162.9828423224</v>
      </c>
      <c r="K122" s="189">
        <f t="shared" si="29"/>
        <v>-3.649805934401229E-3</v>
      </c>
      <c r="L122" s="189">
        <f t="shared" si="28"/>
        <v>280542.74999999953</v>
      </c>
      <c r="M122" s="49"/>
      <c r="N122" s="49"/>
      <c r="O122" s="61"/>
      <c r="P122" s="44"/>
      <c r="Q122" s="44"/>
      <c r="R122" s="284"/>
    </row>
    <row r="123" spans="1:18" s="9" customFormat="1" ht="25.5" customHeight="1" thickBot="1" x14ac:dyDescent="0.3">
      <c r="A123" s="271"/>
      <c r="B123" s="267"/>
      <c r="C123" s="147" t="s">
        <v>35</v>
      </c>
      <c r="D123" s="187" t="s">
        <v>124</v>
      </c>
      <c r="E123" s="24">
        <f>E121+298.72</f>
        <v>9036</v>
      </c>
      <c r="F123" s="189">
        <v>0.82</v>
      </c>
      <c r="G123" s="189">
        <f>SUM(G121)+244.93</f>
        <v>4232.566962312676</v>
      </c>
      <c r="H123" s="189">
        <f>SUM(H121)+0</f>
        <v>164582.1825005241</v>
      </c>
      <c r="I123" s="189">
        <f>SUM(I121)+244.96</f>
        <v>4232.5662847998037</v>
      </c>
      <c r="J123" s="189">
        <f>SUM(J121)+14508.83</f>
        <v>179091.01250052406</v>
      </c>
      <c r="K123" s="189">
        <f t="shared" si="29"/>
        <v>-6.7751287224382395E-4</v>
      </c>
      <c r="L123" s="189">
        <f t="shared" si="28"/>
        <v>14508.829999999958</v>
      </c>
      <c r="M123" s="49"/>
      <c r="N123" s="49"/>
      <c r="O123" s="61"/>
      <c r="P123" s="44"/>
      <c r="Q123" s="44"/>
      <c r="R123" s="284"/>
    </row>
    <row r="124" spans="1:18" s="9" customFormat="1" ht="48.75" customHeight="1" thickBot="1" x14ac:dyDescent="0.3">
      <c r="A124" s="271"/>
      <c r="B124" s="267"/>
      <c r="C124" s="147"/>
      <c r="D124" s="175" t="s">
        <v>113</v>
      </c>
      <c r="E124" s="177">
        <f>SUM(E122:E123)</f>
        <v>214346.08999999997</v>
      </c>
      <c r="F124" s="177"/>
      <c r="G124" s="200">
        <f t="shared" ref="G124:L124" si="31">SUM(G122:G123)</f>
        <v>237969.72334037215</v>
      </c>
      <c r="H124" s="200">
        <f t="shared" si="31"/>
        <v>2501202.4153428469</v>
      </c>
      <c r="I124" s="200">
        <f t="shared" si="31"/>
        <v>237969.71901305334</v>
      </c>
      <c r="J124" s="200">
        <f t="shared" si="31"/>
        <v>2796253.9953428465</v>
      </c>
      <c r="K124" s="200">
        <f t="shared" si="31"/>
        <v>-4.327318806645053E-3</v>
      </c>
      <c r="L124" s="200">
        <f t="shared" si="31"/>
        <v>295051.57999999949</v>
      </c>
      <c r="M124" s="181"/>
      <c r="N124" s="181"/>
      <c r="O124" s="201">
        <f>3408940.51/1.95583</f>
        <v>1742963.6062438963</v>
      </c>
      <c r="P124" s="44"/>
      <c r="Q124" s="44"/>
      <c r="R124" s="284"/>
    </row>
    <row r="125" spans="1:18" ht="15.75" thickBot="1" x14ac:dyDescent="0.3">
      <c r="A125" s="271"/>
      <c r="B125" s="267"/>
      <c r="C125" s="53" t="s">
        <v>24</v>
      </c>
      <c r="D125" s="54" t="s">
        <v>4</v>
      </c>
      <c r="E125" s="20">
        <v>846.61</v>
      </c>
      <c r="F125" s="16">
        <v>3.12</v>
      </c>
      <c r="G125" s="16">
        <v>2641.42</v>
      </c>
      <c r="H125" s="16">
        <v>2539.83</v>
      </c>
      <c r="I125" s="29">
        <v>2641.42</v>
      </c>
      <c r="J125" s="29">
        <v>2539.83</v>
      </c>
      <c r="K125" s="16">
        <f t="shared" si="26"/>
        <v>0</v>
      </c>
      <c r="L125" s="16">
        <f t="shared" si="27"/>
        <v>0</v>
      </c>
      <c r="M125" s="49"/>
      <c r="N125" s="49"/>
      <c r="O125" s="44"/>
      <c r="P125" s="45"/>
      <c r="Q125" s="45"/>
      <c r="R125" s="284"/>
    </row>
    <row r="126" spans="1:18" ht="15.75" thickBot="1" x14ac:dyDescent="0.3">
      <c r="A126" s="271"/>
      <c r="B126" s="267"/>
      <c r="C126" s="53" t="s">
        <v>24</v>
      </c>
      <c r="D126" s="54" t="s">
        <v>5</v>
      </c>
      <c r="E126" s="20">
        <f>769.59+E125</f>
        <v>1616.2</v>
      </c>
      <c r="F126" s="16">
        <v>3.1230000000000002</v>
      </c>
      <c r="G126" s="16">
        <f>2401.12+G125</f>
        <v>5042.54</v>
      </c>
      <c r="H126" s="16">
        <f>6926.31+H125</f>
        <v>9466.14</v>
      </c>
      <c r="I126" s="16">
        <f>2401.12+I125</f>
        <v>5042.54</v>
      </c>
      <c r="J126" s="16">
        <f>6926.31+J125</f>
        <v>9466.14</v>
      </c>
      <c r="K126" s="16">
        <f t="shared" si="26"/>
        <v>0</v>
      </c>
      <c r="L126" s="16">
        <f t="shared" si="27"/>
        <v>0</v>
      </c>
      <c r="M126" s="49"/>
      <c r="N126" s="49"/>
      <c r="O126" s="44"/>
      <c r="P126" s="45"/>
      <c r="Q126" s="45"/>
      <c r="R126" s="284"/>
    </row>
    <row r="127" spans="1:18" ht="15.75" thickBot="1" x14ac:dyDescent="0.3">
      <c r="A127" s="271"/>
      <c r="B127" s="267"/>
      <c r="C127" s="53" t="s">
        <v>24</v>
      </c>
      <c r="D127" s="54" t="s">
        <v>6</v>
      </c>
      <c r="E127" s="20">
        <f>624.06+E126</f>
        <v>2240.2600000000002</v>
      </c>
      <c r="F127" s="15">
        <v>3.12</v>
      </c>
      <c r="G127" s="16">
        <f>1947.07+G126</f>
        <v>6989.61</v>
      </c>
      <c r="H127" s="16">
        <f>9360.9+H126</f>
        <v>18827.04</v>
      </c>
      <c r="I127" s="16">
        <f>1947.07+I126</f>
        <v>6989.61</v>
      </c>
      <c r="J127" s="16">
        <f>9360.9+J126</f>
        <v>18827.04</v>
      </c>
      <c r="K127" s="16">
        <f t="shared" si="26"/>
        <v>0</v>
      </c>
      <c r="L127" s="16">
        <f t="shared" si="27"/>
        <v>0</v>
      </c>
      <c r="M127" s="56">
        <v>126.24</v>
      </c>
      <c r="N127" s="249">
        <v>7786.73</v>
      </c>
      <c r="O127" s="44"/>
      <c r="P127" s="45"/>
      <c r="Q127" s="45"/>
      <c r="R127" s="284"/>
    </row>
    <row r="128" spans="1:18" ht="15.75" thickBot="1" x14ac:dyDescent="0.3">
      <c r="A128" s="271"/>
      <c r="B128" s="267"/>
      <c r="C128" s="40" t="s">
        <v>24</v>
      </c>
      <c r="D128" s="13" t="s">
        <v>7</v>
      </c>
      <c r="E128" s="14">
        <f>592+E127</f>
        <v>2832.26</v>
      </c>
      <c r="F128" s="15">
        <v>3.12</v>
      </c>
      <c r="G128" s="29">
        <f>1846.01+G127</f>
        <v>8835.619999999999</v>
      </c>
      <c r="H128" s="29">
        <f>13016.74+H127</f>
        <v>31843.78</v>
      </c>
      <c r="I128" s="16">
        <f>1846.01+I127</f>
        <v>8835.619999999999</v>
      </c>
      <c r="J128" s="16">
        <f>13016.74+J127</f>
        <v>31843.78</v>
      </c>
      <c r="K128" s="29">
        <f t="shared" si="26"/>
        <v>0</v>
      </c>
      <c r="L128" s="29">
        <f t="shared" si="27"/>
        <v>0</v>
      </c>
      <c r="M128" s="56">
        <f>145.4+397.89</f>
        <v>543.29</v>
      </c>
      <c r="N128" s="250"/>
      <c r="O128" s="44"/>
      <c r="P128" s="45"/>
      <c r="Q128" s="45"/>
      <c r="R128" s="284"/>
    </row>
    <row r="129" spans="1:18" ht="15.75" thickBot="1" x14ac:dyDescent="0.3">
      <c r="A129" s="271"/>
      <c r="B129" s="267"/>
      <c r="C129" s="40" t="s">
        <v>24</v>
      </c>
      <c r="D129" s="13" t="s">
        <v>8</v>
      </c>
      <c r="E129" s="14">
        <f>635.75+E128</f>
        <v>3468.01</v>
      </c>
      <c r="F129" s="15">
        <v>3.12</v>
      </c>
      <c r="G129" s="29">
        <f>1983.54+G128</f>
        <v>10819.16</v>
      </c>
      <c r="H129" s="29">
        <f>17801+H128</f>
        <v>49644.78</v>
      </c>
      <c r="I129" s="29">
        <f>1983.54+I128</f>
        <v>10819.16</v>
      </c>
      <c r="J129" s="29">
        <f>17801+J128</f>
        <v>49644.78</v>
      </c>
      <c r="K129" s="29">
        <f t="shared" si="26"/>
        <v>0</v>
      </c>
      <c r="L129" s="29">
        <f t="shared" si="27"/>
        <v>0</v>
      </c>
      <c r="M129" s="56">
        <f>65.09+993.82</f>
        <v>1058.9100000000001</v>
      </c>
      <c r="N129" s="250"/>
      <c r="O129" s="58"/>
      <c r="P129" s="45"/>
      <c r="Q129" s="45"/>
      <c r="R129" s="284"/>
    </row>
    <row r="130" spans="1:18" ht="15.75" thickBot="1" x14ac:dyDescent="0.3">
      <c r="A130" s="271"/>
      <c r="B130" s="267"/>
      <c r="C130" s="40" t="s">
        <v>24</v>
      </c>
      <c r="D130" s="54" t="s">
        <v>21</v>
      </c>
      <c r="E130" s="20">
        <f>598.04+E129</f>
        <v>4066.05</v>
      </c>
      <c r="F130" s="16">
        <v>3.12</v>
      </c>
      <c r="G130" s="29">
        <f>1816.29+G129</f>
        <v>12635.45</v>
      </c>
      <c r="H130" s="29">
        <f>20810.72+H129</f>
        <v>70455.5</v>
      </c>
      <c r="I130" s="29">
        <f>1865.87+I129-49.58</f>
        <v>12635.449999999999</v>
      </c>
      <c r="J130" s="29">
        <f>21529.26+J129-718.54</f>
        <v>70455.5</v>
      </c>
      <c r="K130" s="29">
        <f t="shared" si="26"/>
        <v>0</v>
      </c>
      <c r="L130" s="29">
        <f t="shared" si="27"/>
        <v>0</v>
      </c>
      <c r="M130" s="56">
        <v>91.33</v>
      </c>
      <c r="N130" s="251"/>
      <c r="O130" s="58"/>
      <c r="P130" s="45"/>
      <c r="Q130" s="45"/>
      <c r="R130" s="284"/>
    </row>
    <row r="131" spans="1:18" ht="15.75" thickBot="1" x14ac:dyDescent="0.3">
      <c r="A131" s="271"/>
      <c r="B131" s="267"/>
      <c r="C131" s="40" t="s">
        <v>24</v>
      </c>
      <c r="D131" s="54" t="s">
        <v>65</v>
      </c>
      <c r="E131" s="24">
        <f>329.56+E130</f>
        <v>4395.6100000000006</v>
      </c>
      <c r="F131" s="16">
        <v>1.6</v>
      </c>
      <c r="G131" s="29">
        <f>527.29+G130</f>
        <v>13162.740000000002</v>
      </c>
      <c r="H131" s="29">
        <f>0+2103.6+11078.8+H130</f>
        <v>83637.899999999994</v>
      </c>
      <c r="I131" s="29">
        <f>527.3+I130</f>
        <v>13162.749999999998</v>
      </c>
      <c r="J131" s="29">
        <f>13182.4+J130</f>
        <v>83637.899999999994</v>
      </c>
      <c r="K131" s="29">
        <f t="shared" si="26"/>
        <v>9.9999999965802999E-3</v>
      </c>
      <c r="L131" s="29">
        <f t="shared" si="27"/>
        <v>0</v>
      </c>
      <c r="M131" s="49"/>
      <c r="N131" s="49"/>
      <c r="O131" s="58"/>
      <c r="P131" s="45"/>
      <c r="Q131" s="45"/>
      <c r="R131" s="284"/>
    </row>
    <row r="132" spans="1:18" ht="15.75" thickBot="1" x14ac:dyDescent="0.3">
      <c r="A132" s="271"/>
      <c r="B132" s="267"/>
      <c r="C132" s="40" t="s">
        <v>24</v>
      </c>
      <c r="D132" s="63" t="s">
        <v>39</v>
      </c>
      <c r="E132" s="24">
        <f>45.01+130.59+81.62+68.98+E131</f>
        <v>4721.8100000000004</v>
      </c>
      <c r="F132" s="16">
        <v>1.6</v>
      </c>
      <c r="G132" s="29">
        <f>521.92+G131</f>
        <v>13684.660000000002</v>
      </c>
      <c r="H132" s="29">
        <f>14679+H131</f>
        <v>98316.9</v>
      </c>
      <c r="I132" s="29">
        <f>157.79+123.17+130.59+110.37+I131</f>
        <v>13684.669999999998</v>
      </c>
      <c r="J132" s="29">
        <f>4437.9+3464.1+3672.9+3104.1+J131</f>
        <v>98316.9</v>
      </c>
      <c r="K132" s="29">
        <f t="shared" si="26"/>
        <v>9.9999999965802999E-3</v>
      </c>
      <c r="L132" s="29">
        <f t="shared" si="27"/>
        <v>0</v>
      </c>
      <c r="M132" s="49"/>
      <c r="N132" s="49"/>
      <c r="O132" s="58"/>
      <c r="P132" s="45"/>
      <c r="Q132" s="45"/>
      <c r="R132" s="284"/>
    </row>
    <row r="133" spans="1:18" s="9" customFormat="1" ht="49.5" customHeight="1" thickBot="1" x14ac:dyDescent="0.3">
      <c r="A133" s="271"/>
      <c r="B133" s="267"/>
      <c r="C133" s="40" t="s">
        <v>24</v>
      </c>
      <c r="D133" s="54" t="s">
        <v>66</v>
      </c>
      <c r="E133" s="24">
        <f>272.69+E132</f>
        <v>4994.5</v>
      </c>
      <c r="F133" s="16">
        <v>1.6</v>
      </c>
      <c r="G133" s="29">
        <f>436.31+G132</f>
        <v>14120.970000000001</v>
      </c>
      <c r="H133" s="29">
        <f>15543.32+H132-7771.66</f>
        <v>106088.56</v>
      </c>
      <c r="I133" s="29">
        <f>436.3+I132</f>
        <v>14120.969999999998</v>
      </c>
      <c r="J133" s="29">
        <f>(15543.33/2)+J132</f>
        <v>106088.56499999999</v>
      </c>
      <c r="K133" s="29">
        <f t="shared" ref="K133:L135" si="32">I133-G133</f>
        <v>0</v>
      </c>
      <c r="L133" s="29">
        <f t="shared" si="32"/>
        <v>4.9999999901046976E-3</v>
      </c>
      <c r="M133" s="49"/>
      <c r="N133" s="79"/>
      <c r="O133" s="179" t="s">
        <v>116</v>
      </c>
      <c r="P133" s="44"/>
      <c r="Q133" s="44"/>
      <c r="R133" s="284"/>
    </row>
    <row r="134" spans="1:18" s="9" customFormat="1" ht="26.25" customHeight="1" thickBot="1" x14ac:dyDescent="0.3">
      <c r="A134" s="271"/>
      <c r="B134" s="267"/>
      <c r="C134" s="40" t="s">
        <v>24</v>
      </c>
      <c r="D134" s="110" t="s">
        <v>78</v>
      </c>
      <c r="E134" s="24">
        <f>E133+269.71</f>
        <v>5264.21</v>
      </c>
      <c r="F134" s="29">
        <v>1.6</v>
      </c>
      <c r="G134" s="29">
        <f>G133+125.52-77.02</f>
        <v>14169.470000000001</v>
      </c>
      <c r="H134" s="16">
        <f>H133+6679.51-3800.06-1439.73</f>
        <v>107528.28</v>
      </c>
      <c r="I134" s="29">
        <f>I133+431.54-383.04</f>
        <v>14169.469999999998</v>
      </c>
      <c r="J134" s="29">
        <f>J133+19876.45-16997-1439.73</f>
        <v>107528.28499999999</v>
      </c>
      <c r="K134" s="29">
        <f t="shared" si="32"/>
        <v>0</v>
      </c>
      <c r="L134" s="29">
        <f t="shared" si="32"/>
        <v>4.9999999901046976E-3</v>
      </c>
      <c r="M134" s="121"/>
      <c r="N134" s="49"/>
      <c r="O134" s="131" t="s">
        <v>93</v>
      </c>
      <c r="P134" s="44"/>
      <c r="Q134" s="44"/>
      <c r="R134" s="284"/>
    </row>
    <row r="135" spans="1:18" s="9" customFormat="1" ht="26.25" customHeight="1" thickBot="1" x14ac:dyDescent="0.3">
      <c r="A135" s="271"/>
      <c r="B135" s="267"/>
      <c r="C135" s="40" t="s">
        <v>24</v>
      </c>
      <c r="D135" s="146" t="s">
        <v>81</v>
      </c>
      <c r="E135" s="24">
        <f>E134+355.76</f>
        <v>5619.97</v>
      </c>
      <c r="F135" s="29">
        <v>1.6</v>
      </c>
      <c r="G135" s="29">
        <f>G134+569.21</f>
        <v>14738.68</v>
      </c>
      <c r="H135" s="29">
        <f>H134+29172.32</f>
        <v>136700.6</v>
      </c>
      <c r="I135" s="29">
        <f>I134+569.21</f>
        <v>14738.679999999997</v>
      </c>
      <c r="J135" s="29">
        <f>J134+29172.32</f>
        <v>136700.60499999998</v>
      </c>
      <c r="K135" s="29">
        <f t="shared" si="32"/>
        <v>0</v>
      </c>
      <c r="L135" s="29">
        <f t="shared" si="32"/>
        <v>4.9999999755527824E-3</v>
      </c>
      <c r="M135" s="121"/>
      <c r="N135" s="49"/>
      <c r="O135" s="135"/>
      <c r="P135" s="44"/>
      <c r="Q135" s="44"/>
      <c r="R135" s="284"/>
    </row>
    <row r="136" spans="1:18" s="9" customFormat="1" ht="26.25" customHeight="1" thickBot="1" x14ac:dyDescent="0.3">
      <c r="A136" s="271"/>
      <c r="B136" s="267"/>
      <c r="C136" s="40" t="s">
        <v>24</v>
      </c>
      <c r="D136" s="110" t="s">
        <v>98</v>
      </c>
      <c r="E136" s="24">
        <f>E135+302.73</f>
        <v>5922.7000000000007</v>
      </c>
      <c r="F136" s="29">
        <v>1.6</v>
      </c>
      <c r="G136" s="29">
        <f>G135+449.52-449.52</f>
        <v>14738.68</v>
      </c>
      <c r="H136" s="29">
        <f>H135+26690.25-26690.25</f>
        <v>136700.6</v>
      </c>
      <c r="I136" s="29">
        <f>I135+484.37-484.37</f>
        <v>14738.679999999997</v>
      </c>
      <c r="J136" s="29">
        <f>J135+28759.35-28759.35</f>
        <v>136700.60499999998</v>
      </c>
      <c r="K136" s="29">
        <f t="shared" ref="K136:L146" si="33">I136-G136</f>
        <v>0</v>
      </c>
      <c r="L136" s="29">
        <f t="shared" si="33"/>
        <v>4.9999999755527824E-3</v>
      </c>
      <c r="M136" s="121"/>
      <c r="N136" s="49"/>
      <c r="O136" s="135"/>
      <c r="P136" s="44"/>
      <c r="Q136" s="44"/>
      <c r="R136" s="284"/>
    </row>
    <row r="137" spans="1:18" s="9" customFormat="1" ht="26.25" customHeight="1" thickBot="1" x14ac:dyDescent="0.3">
      <c r="A137" s="271"/>
      <c r="B137" s="267"/>
      <c r="C137" s="40" t="s">
        <v>24</v>
      </c>
      <c r="D137" s="110" t="s">
        <v>99</v>
      </c>
      <c r="E137" s="24">
        <f>E136+317.33</f>
        <v>6240.0300000000007</v>
      </c>
      <c r="F137" s="29">
        <v>1.6</v>
      </c>
      <c r="G137" s="29">
        <f t="shared" ref="G137:H139" si="34">G136+0</f>
        <v>14738.68</v>
      </c>
      <c r="H137" s="29">
        <f t="shared" si="34"/>
        <v>136700.6</v>
      </c>
      <c r="I137" s="29">
        <f>I136+507.73-230.45-277.28</f>
        <v>14738.679999999995</v>
      </c>
      <c r="J137" s="29">
        <f>J136+30146.35-13682.85-16463.5</f>
        <v>136700.60499999998</v>
      </c>
      <c r="K137" s="29">
        <f t="shared" si="33"/>
        <v>0</v>
      </c>
      <c r="L137" s="29">
        <f t="shared" si="33"/>
        <v>4.9999999755527824E-3</v>
      </c>
      <c r="M137" s="121"/>
      <c r="N137" s="49"/>
      <c r="O137" s="135"/>
      <c r="P137" s="44"/>
      <c r="Q137" s="44"/>
      <c r="R137" s="284"/>
    </row>
    <row r="138" spans="1:18" s="9" customFormat="1" ht="26.25" customHeight="1" thickBot="1" x14ac:dyDescent="0.3">
      <c r="A138" s="271"/>
      <c r="B138" s="267"/>
      <c r="C138" s="40" t="s">
        <v>24</v>
      </c>
      <c r="D138" s="110" t="s">
        <v>103</v>
      </c>
      <c r="E138" s="24">
        <f>E137+333.06</f>
        <v>6573.0900000000011</v>
      </c>
      <c r="F138" s="29">
        <v>1.6</v>
      </c>
      <c r="G138" s="29">
        <f t="shared" si="34"/>
        <v>14738.68</v>
      </c>
      <c r="H138" s="29">
        <f t="shared" si="34"/>
        <v>136700.6</v>
      </c>
      <c r="I138" s="29">
        <f>I137+532.9-248.45-284.45</f>
        <v>14738.679999999993</v>
      </c>
      <c r="J138" s="29">
        <f>J137+31640.7-14751.6-16889.1</f>
        <v>136700.60499999998</v>
      </c>
      <c r="K138" s="29">
        <f t="shared" si="33"/>
        <v>0</v>
      </c>
      <c r="L138" s="29">
        <f t="shared" si="33"/>
        <v>4.9999999755527824E-3</v>
      </c>
      <c r="M138" s="121"/>
      <c r="N138" s="49"/>
      <c r="O138" s="135"/>
      <c r="P138" s="44"/>
      <c r="Q138" s="44"/>
      <c r="R138" s="284"/>
    </row>
    <row r="139" spans="1:18" s="9" customFormat="1" ht="26.25" customHeight="1" thickBot="1" x14ac:dyDescent="0.3">
      <c r="A139" s="271"/>
      <c r="B139" s="267"/>
      <c r="C139" s="154" t="s">
        <v>24</v>
      </c>
      <c r="D139" s="146" t="s">
        <v>119</v>
      </c>
      <c r="E139" s="24">
        <f>E138+384.21</f>
        <v>6957.3000000000011</v>
      </c>
      <c r="F139" s="29">
        <v>1.6</v>
      </c>
      <c r="G139" s="29">
        <f t="shared" si="34"/>
        <v>14738.68</v>
      </c>
      <c r="H139" s="29">
        <f t="shared" si="34"/>
        <v>136700.6</v>
      </c>
      <c r="I139" s="29">
        <f>I138+614.73-614.73</f>
        <v>14738.679999999993</v>
      </c>
      <c r="J139" s="29">
        <f>J138+36499.95-36499.95</f>
        <v>136700.60499999998</v>
      </c>
      <c r="K139" s="29">
        <f t="shared" ref="K139:L141" si="35">I139-G139</f>
        <v>0</v>
      </c>
      <c r="L139" s="29">
        <f t="shared" si="35"/>
        <v>4.9999999755527824E-3</v>
      </c>
      <c r="M139" s="121"/>
      <c r="N139" s="121"/>
      <c r="P139" s="44"/>
      <c r="Q139" s="44"/>
      <c r="R139" s="284"/>
    </row>
    <row r="140" spans="1:18" s="9" customFormat="1" ht="19.5" customHeight="1" thickBot="1" x14ac:dyDescent="0.3">
      <c r="A140" s="271"/>
      <c r="B140" s="267"/>
      <c r="C140" s="154" t="s">
        <v>24</v>
      </c>
      <c r="D140" s="146" t="s">
        <v>119</v>
      </c>
      <c r="E140" s="24">
        <f>SUM(E139)</f>
        <v>6957.3000000000011</v>
      </c>
      <c r="F140" s="140" t="s">
        <v>121</v>
      </c>
      <c r="G140" s="189">
        <f>G139/1.95583</f>
        <v>7535.7674235490822</v>
      </c>
      <c r="H140" s="189">
        <f>H139/1.95583</f>
        <v>69893.906934651794</v>
      </c>
      <c r="I140" s="189">
        <f>I139/1.95583</f>
        <v>7535.7674235490776</v>
      </c>
      <c r="J140" s="189">
        <f>J139/1.95583</f>
        <v>69893.90949111119</v>
      </c>
      <c r="K140" s="189">
        <f t="shared" si="35"/>
        <v>0</v>
      </c>
      <c r="L140" s="189">
        <f t="shared" si="35"/>
        <v>2.5564593961462379E-3</v>
      </c>
      <c r="M140" s="121"/>
      <c r="N140" s="121"/>
      <c r="O140" s="135"/>
      <c r="P140" s="44"/>
      <c r="Q140" s="44"/>
      <c r="R140" s="284"/>
    </row>
    <row r="141" spans="1:18" s="9" customFormat="1" ht="21.75" customHeight="1" thickBot="1" x14ac:dyDescent="0.3">
      <c r="A141" s="271"/>
      <c r="B141" s="267"/>
      <c r="C141" s="147" t="s">
        <v>24</v>
      </c>
      <c r="D141" s="188" t="s">
        <v>124</v>
      </c>
      <c r="E141" s="177">
        <f>E140+216.69</f>
        <v>7173.9900000000007</v>
      </c>
      <c r="F141" s="200">
        <v>0.82</v>
      </c>
      <c r="G141" s="200">
        <f>G140+177.68</f>
        <v>7713.4474235490825</v>
      </c>
      <c r="H141" s="200">
        <f>H140+0</f>
        <v>69893.906934651794</v>
      </c>
      <c r="I141" s="200">
        <f>I140+177.68</f>
        <v>7713.4474235490779</v>
      </c>
      <c r="J141" s="200">
        <f>J140+10524.63</f>
        <v>80418.539491111194</v>
      </c>
      <c r="K141" s="200">
        <f t="shared" si="35"/>
        <v>0</v>
      </c>
      <c r="L141" s="200">
        <f t="shared" si="35"/>
        <v>10524.632556459401</v>
      </c>
      <c r="M141" s="181"/>
      <c r="N141" s="181"/>
      <c r="O141" s="202">
        <f>106807.1/1.95583</f>
        <v>54609.603084112634</v>
      </c>
      <c r="P141" s="44"/>
      <c r="Q141" s="44"/>
      <c r="R141" s="284"/>
    </row>
    <row r="142" spans="1:18" ht="15.75" thickBot="1" x14ac:dyDescent="0.3">
      <c r="A142" s="271"/>
      <c r="B142" s="267"/>
      <c r="C142" s="53" t="s">
        <v>25</v>
      </c>
      <c r="D142" s="54" t="s">
        <v>4</v>
      </c>
      <c r="E142" s="20">
        <v>3504.5</v>
      </c>
      <c r="F142" s="16">
        <v>3.12</v>
      </c>
      <c r="G142" s="16">
        <v>10934.04</v>
      </c>
      <c r="H142" s="16">
        <v>10513.5</v>
      </c>
      <c r="I142" s="16">
        <v>10934.04</v>
      </c>
      <c r="J142" s="16">
        <v>10513.5</v>
      </c>
      <c r="K142" s="15">
        <f t="shared" si="33"/>
        <v>0</v>
      </c>
      <c r="L142" s="15">
        <f t="shared" si="33"/>
        <v>0</v>
      </c>
      <c r="M142" s="49"/>
      <c r="N142" s="49"/>
      <c r="O142" s="44"/>
      <c r="P142" s="45"/>
      <c r="Q142" s="45"/>
      <c r="R142" s="284"/>
    </row>
    <row r="143" spans="1:18" ht="15.75" thickBot="1" x14ac:dyDescent="0.3">
      <c r="A143" s="271"/>
      <c r="B143" s="267"/>
      <c r="C143" s="53" t="s">
        <v>25</v>
      </c>
      <c r="D143" s="54" t="s">
        <v>5</v>
      </c>
      <c r="E143" s="20">
        <f>E142+3716.5</f>
        <v>7221</v>
      </c>
      <c r="F143" s="16">
        <v>3.1230000000000002</v>
      </c>
      <c r="G143" s="16">
        <f>11595.48+G142</f>
        <v>22529.52</v>
      </c>
      <c r="H143" s="16">
        <f>33448.5+H142</f>
        <v>43962</v>
      </c>
      <c r="I143" s="16">
        <f>11595.48+I142</f>
        <v>22529.52</v>
      </c>
      <c r="J143" s="16">
        <f>33448.5+J142</f>
        <v>43962</v>
      </c>
      <c r="K143" s="15">
        <f t="shared" si="33"/>
        <v>0</v>
      </c>
      <c r="L143" s="15">
        <f t="shared" si="33"/>
        <v>0</v>
      </c>
      <c r="M143" s="49"/>
      <c r="N143" s="49"/>
      <c r="O143" s="44"/>
      <c r="P143" s="45"/>
      <c r="Q143" s="45"/>
      <c r="R143" s="284"/>
    </row>
    <row r="144" spans="1:18" ht="15.75" thickBot="1" x14ac:dyDescent="0.3">
      <c r="A144" s="271"/>
      <c r="B144" s="267"/>
      <c r="C144" s="53" t="s">
        <v>25</v>
      </c>
      <c r="D144" s="54" t="s">
        <v>6</v>
      </c>
      <c r="E144" s="20">
        <f>3351.7+E143</f>
        <v>10572.7</v>
      </c>
      <c r="F144" s="15">
        <v>3.12</v>
      </c>
      <c r="G144" s="16">
        <f>10457.3+G143</f>
        <v>32986.82</v>
      </c>
      <c r="H144" s="16">
        <f>50275.5+H143</f>
        <v>94237.5</v>
      </c>
      <c r="I144" s="16">
        <f>10457.3+I143</f>
        <v>32986.82</v>
      </c>
      <c r="J144" s="16">
        <f>50275.5+J143</f>
        <v>94237.5</v>
      </c>
      <c r="K144" s="15">
        <f t="shared" si="33"/>
        <v>0</v>
      </c>
      <c r="L144" s="15">
        <f t="shared" si="33"/>
        <v>0</v>
      </c>
      <c r="M144" s="49"/>
      <c r="N144" s="49"/>
      <c r="O144" s="44"/>
      <c r="P144" s="45"/>
      <c r="Q144" s="45"/>
      <c r="R144" s="284"/>
    </row>
    <row r="145" spans="1:18" ht="15.75" thickBot="1" x14ac:dyDescent="0.3">
      <c r="A145" s="271"/>
      <c r="B145" s="267"/>
      <c r="C145" s="40" t="s">
        <v>25</v>
      </c>
      <c r="D145" s="13" t="s">
        <v>7</v>
      </c>
      <c r="E145" s="14">
        <f>3400+E144</f>
        <v>13972.7</v>
      </c>
      <c r="F145" s="15">
        <v>3.12</v>
      </c>
      <c r="G145" s="15">
        <f>10608.22+G144</f>
        <v>43595.040000000001</v>
      </c>
      <c r="H145" s="16">
        <f>74801.54+H144</f>
        <v>169039.03999999998</v>
      </c>
      <c r="I145" s="16">
        <f>10608.22+I144</f>
        <v>43595.040000000001</v>
      </c>
      <c r="J145" s="16">
        <f>74801.54+J144</f>
        <v>169039.03999999998</v>
      </c>
      <c r="K145" s="15">
        <f t="shared" si="33"/>
        <v>0</v>
      </c>
      <c r="L145" s="15">
        <f t="shared" si="33"/>
        <v>0</v>
      </c>
      <c r="M145" s="49"/>
      <c r="N145" s="65"/>
      <c r="O145" s="44"/>
      <c r="P145" s="45"/>
      <c r="Q145" s="45"/>
      <c r="R145" s="284"/>
    </row>
    <row r="146" spans="1:18" ht="315.75" thickBot="1" x14ac:dyDescent="0.3">
      <c r="A146" s="271"/>
      <c r="B146" s="267"/>
      <c r="C146" s="40" t="s">
        <v>25</v>
      </c>
      <c r="D146" s="13" t="s">
        <v>8</v>
      </c>
      <c r="E146" s="14">
        <f>3328.54+E145</f>
        <v>17301.240000000002</v>
      </c>
      <c r="F146" s="15">
        <v>3.12</v>
      </c>
      <c r="G146" s="15">
        <f>10385.05+G145</f>
        <v>53980.09</v>
      </c>
      <c r="H146" s="66">
        <f>93199.12+H145</f>
        <v>262238.15999999997</v>
      </c>
      <c r="I146" s="29">
        <f>10385.05+I145</f>
        <v>53980.09</v>
      </c>
      <c r="J146" s="16">
        <f>93199.12+J145</f>
        <v>262238.15999999997</v>
      </c>
      <c r="K146" s="15">
        <f t="shared" si="33"/>
        <v>0</v>
      </c>
      <c r="L146" s="15">
        <f t="shared" si="33"/>
        <v>0</v>
      </c>
      <c r="M146" s="49"/>
      <c r="N146" s="65"/>
      <c r="O146" s="64" t="s">
        <v>50</v>
      </c>
      <c r="P146" s="45"/>
      <c r="Q146" s="45"/>
      <c r="R146" s="284"/>
    </row>
    <row r="147" spans="1:18" ht="330.75" thickBot="1" x14ac:dyDescent="0.3">
      <c r="A147" s="271"/>
      <c r="B147" s="267"/>
      <c r="C147" s="40" t="s">
        <v>25</v>
      </c>
      <c r="D147" s="54" t="s">
        <v>21</v>
      </c>
      <c r="E147" s="20">
        <f>3036.17+E146</f>
        <v>20337.410000000003</v>
      </c>
      <c r="F147" s="16">
        <v>3.12</v>
      </c>
      <c r="G147" s="29">
        <f>9611.46+G146-138.62</f>
        <v>63452.929999999993</v>
      </c>
      <c r="H147" s="29">
        <f>110901.6+H146-1599.48</f>
        <v>371540.28</v>
      </c>
      <c r="I147" s="29">
        <f>9472.84+I146</f>
        <v>63452.929999999993</v>
      </c>
      <c r="J147" s="16">
        <f>109302.12+J146</f>
        <v>371540.27999999997</v>
      </c>
      <c r="K147" s="16">
        <f t="shared" ref="K147:K159" si="36">I147-G147</f>
        <v>0</v>
      </c>
      <c r="L147" s="16">
        <f t="shared" ref="L147:L152" si="37">J147-H147</f>
        <v>0</v>
      </c>
      <c r="M147" s="49"/>
      <c r="N147" s="65"/>
      <c r="O147" s="64" t="s">
        <v>51</v>
      </c>
      <c r="P147" s="45"/>
      <c r="Q147" s="45"/>
      <c r="R147" s="284"/>
    </row>
    <row r="148" spans="1:18" ht="15.75" thickBot="1" x14ac:dyDescent="0.3">
      <c r="A148" s="271"/>
      <c r="B148" s="267"/>
      <c r="C148" s="40" t="s">
        <v>25</v>
      </c>
      <c r="D148" s="54" t="s">
        <v>65</v>
      </c>
      <c r="E148" s="24">
        <f>1865.56+E147</f>
        <v>22202.970000000005</v>
      </c>
      <c r="F148" s="16">
        <v>1.6</v>
      </c>
      <c r="G148" s="16">
        <f>2984.89+G147</f>
        <v>66437.819999999992</v>
      </c>
      <c r="H148" s="16">
        <f>74622.4+H147</f>
        <v>446162.68000000005</v>
      </c>
      <c r="I148" s="29">
        <f>2984.89+I147</f>
        <v>66437.819999999992</v>
      </c>
      <c r="J148" s="29">
        <f>74622.4+J147</f>
        <v>446162.67999999993</v>
      </c>
      <c r="K148" s="29">
        <f t="shared" si="36"/>
        <v>0</v>
      </c>
      <c r="L148" s="29">
        <f t="shared" si="37"/>
        <v>0</v>
      </c>
      <c r="M148" s="49"/>
      <c r="N148" s="108">
        <v>928.36</v>
      </c>
      <c r="O148" s="67"/>
      <c r="P148" s="45"/>
      <c r="Q148" s="45"/>
      <c r="R148" s="284"/>
    </row>
    <row r="149" spans="1:18" s="9" customFormat="1" ht="18" customHeight="1" thickBot="1" x14ac:dyDescent="0.3">
      <c r="A149" s="271"/>
      <c r="B149" s="267"/>
      <c r="C149" s="40" t="s">
        <v>25</v>
      </c>
      <c r="D149" s="54" t="s">
        <v>39</v>
      </c>
      <c r="E149" s="24">
        <f>534.97+496.57+452.06+429.83+E148</f>
        <v>24116.400000000005</v>
      </c>
      <c r="F149" s="16">
        <v>1.6</v>
      </c>
      <c r="G149" s="16">
        <f>1168.05+807.14+344.7+449.81+291.79+G148</f>
        <v>69499.31</v>
      </c>
      <c r="H149" s="16">
        <f>32851.35+22700.7+16015.81+6329.84+8206.65+H148</f>
        <v>532267.03</v>
      </c>
      <c r="I149" s="29">
        <f>855.95+794.51+723.3+687.73+I148</f>
        <v>69499.31</v>
      </c>
      <c r="J149" s="29">
        <f>24073.65+22345.65+20342.7+19342.35+J148</f>
        <v>532267.02999999991</v>
      </c>
      <c r="K149" s="29">
        <f t="shared" si="36"/>
        <v>0</v>
      </c>
      <c r="L149" s="29">
        <f t="shared" si="37"/>
        <v>0</v>
      </c>
      <c r="M149" s="49"/>
      <c r="N149" s="107"/>
      <c r="O149" s="67"/>
      <c r="P149" s="44"/>
      <c r="Q149" s="44"/>
      <c r="R149" s="284"/>
    </row>
    <row r="150" spans="1:18" s="9" customFormat="1" ht="26.25" customHeight="1" thickBot="1" x14ac:dyDescent="0.3">
      <c r="A150" s="271"/>
      <c r="B150" s="267"/>
      <c r="C150" s="40" t="s">
        <v>25</v>
      </c>
      <c r="D150" s="54" t="s">
        <v>66</v>
      </c>
      <c r="E150" s="24">
        <f>1773.35+E149</f>
        <v>25889.750000000004</v>
      </c>
      <c r="F150" s="16">
        <v>1.6</v>
      </c>
      <c r="G150" s="29">
        <f>G149+2837.36</f>
        <v>72336.67</v>
      </c>
      <c r="H150" s="29">
        <f>H149+101080.95</f>
        <v>633347.98</v>
      </c>
      <c r="I150" s="29">
        <f>2837.36+I149</f>
        <v>72336.67</v>
      </c>
      <c r="J150" s="29">
        <f>101080.95+J149</f>
        <v>633347.97999999986</v>
      </c>
      <c r="K150" s="29">
        <f t="shared" si="36"/>
        <v>0</v>
      </c>
      <c r="L150" s="29">
        <f t="shared" si="37"/>
        <v>0</v>
      </c>
      <c r="M150" s="49"/>
      <c r="N150" s="65"/>
      <c r="O150" s="67"/>
      <c r="P150" s="44"/>
      <c r="Q150" s="44"/>
      <c r="R150" s="284"/>
    </row>
    <row r="151" spans="1:18" s="9" customFormat="1" ht="26.25" customHeight="1" thickBot="1" x14ac:dyDescent="0.3">
      <c r="A151" s="271"/>
      <c r="B151" s="267"/>
      <c r="C151" s="40" t="s">
        <v>25</v>
      </c>
      <c r="D151" s="110" t="s">
        <v>78</v>
      </c>
      <c r="E151" s="24">
        <f>E150+1852.83</f>
        <v>27742.58</v>
      </c>
      <c r="F151" s="29">
        <v>1.6</v>
      </c>
      <c r="G151" s="29">
        <f>G150+481.26</f>
        <v>72817.929999999993</v>
      </c>
      <c r="H151" s="29">
        <f>H150+28575.05</f>
        <v>661923.03</v>
      </c>
      <c r="I151" s="29">
        <f>I150+2964.51-2483.26</f>
        <v>72817.919999999998</v>
      </c>
      <c r="J151" s="29">
        <f>J150+138944.41-110369.36</f>
        <v>661923.02999999991</v>
      </c>
      <c r="K151" s="29">
        <f t="shared" si="36"/>
        <v>-9.9999999947613105E-3</v>
      </c>
      <c r="L151" s="141">
        <f t="shared" si="37"/>
        <v>0</v>
      </c>
      <c r="M151" s="49"/>
      <c r="N151" s="65"/>
      <c r="O151" s="136"/>
      <c r="P151" s="44"/>
      <c r="Q151" s="44"/>
      <c r="R151" s="284"/>
    </row>
    <row r="152" spans="1:18" s="9" customFormat="1" ht="26.25" customHeight="1" thickBot="1" x14ac:dyDescent="0.3">
      <c r="A152" s="271"/>
      <c r="B152" s="267"/>
      <c r="C152" s="40" t="s">
        <v>25</v>
      </c>
      <c r="D152" s="146" t="s">
        <v>81</v>
      </c>
      <c r="E152" s="24">
        <f>E151+2460.07</f>
        <v>30202.65</v>
      </c>
      <c r="F152" s="29">
        <v>1.6</v>
      </c>
      <c r="G152" s="29">
        <f>G151+0</f>
        <v>72817.929999999993</v>
      </c>
      <c r="H152" s="29">
        <f>H151+14511.85</f>
        <v>676434.88</v>
      </c>
      <c r="I152" s="29">
        <f>I151+3936.11-3936.11</f>
        <v>72817.919999999998</v>
      </c>
      <c r="J152" s="29">
        <f>J151+201725.74-187213.89</f>
        <v>676434.87999999989</v>
      </c>
      <c r="K152" s="29">
        <f t="shared" si="36"/>
        <v>-9.9999999947613105E-3</v>
      </c>
      <c r="L152" s="152">
        <f t="shared" si="37"/>
        <v>0</v>
      </c>
      <c r="M152" s="49"/>
      <c r="N152" s="65"/>
      <c r="O152" s="136"/>
      <c r="P152" s="44"/>
      <c r="Q152" s="44"/>
      <c r="R152" s="284"/>
    </row>
    <row r="153" spans="1:18" s="9" customFormat="1" ht="26.25" customHeight="1" thickBot="1" x14ac:dyDescent="0.3">
      <c r="A153" s="271"/>
      <c r="B153" s="267"/>
      <c r="C153" s="154" t="s">
        <v>25</v>
      </c>
      <c r="D153" s="110" t="s">
        <v>98</v>
      </c>
      <c r="E153" s="24">
        <f>E152+2337.16</f>
        <v>32539.81</v>
      </c>
      <c r="F153" s="29">
        <v>1.6</v>
      </c>
      <c r="G153" s="29">
        <f>G152+1587.94</f>
        <v>74405.87</v>
      </c>
      <c r="H153" s="29">
        <f>H152+16329.87</f>
        <v>692764.75</v>
      </c>
      <c r="I153" s="29">
        <f>I152+3739.46-2151.52</f>
        <v>74405.86</v>
      </c>
      <c r="J153" s="29">
        <f>J152+222030.2-205700.33</f>
        <v>692764.74999999988</v>
      </c>
      <c r="K153" s="29">
        <f t="shared" si="36"/>
        <v>-9.9999999947613105E-3</v>
      </c>
      <c r="L153" s="152">
        <f t="shared" ref="L153:L160" si="38">J153-H153</f>
        <v>0</v>
      </c>
      <c r="M153" s="49"/>
      <c r="N153" s="65"/>
      <c r="O153" s="136"/>
      <c r="P153" s="44"/>
      <c r="Q153" s="44"/>
      <c r="R153" s="284"/>
    </row>
    <row r="154" spans="1:18" s="9" customFormat="1" ht="26.25" customHeight="1" thickBot="1" x14ac:dyDescent="0.3">
      <c r="A154" s="271"/>
      <c r="B154" s="267"/>
      <c r="C154" s="154" t="s">
        <v>25</v>
      </c>
      <c r="D154" s="110" t="s">
        <v>99</v>
      </c>
      <c r="E154" s="24">
        <f>E153+2170.52</f>
        <v>34710.33</v>
      </c>
      <c r="F154" s="29">
        <v>1.6</v>
      </c>
      <c r="G154" s="29">
        <f t="shared" ref="G154:H156" si="39">G153+0</f>
        <v>74405.87</v>
      </c>
      <c r="H154" s="29">
        <f t="shared" si="39"/>
        <v>692764.75</v>
      </c>
      <c r="I154" s="29">
        <f>I153+3472.83-3472.83</f>
        <v>74405.86</v>
      </c>
      <c r="J154" s="29">
        <f>J153+206199.4-206199.4</f>
        <v>692764.74999999988</v>
      </c>
      <c r="K154" s="29">
        <f t="shared" si="36"/>
        <v>-9.9999999947613105E-3</v>
      </c>
      <c r="L154" s="152">
        <f t="shared" si="38"/>
        <v>0</v>
      </c>
      <c r="M154" s="49"/>
      <c r="N154" s="65"/>
      <c r="O154" s="136"/>
      <c r="P154" s="44"/>
      <c r="Q154" s="44"/>
      <c r="R154" s="284"/>
    </row>
    <row r="155" spans="1:18" s="9" customFormat="1" ht="26.25" customHeight="1" thickBot="1" x14ac:dyDescent="0.3">
      <c r="A155" s="271"/>
      <c r="B155" s="267"/>
      <c r="C155" s="154" t="s">
        <v>25</v>
      </c>
      <c r="D155" s="110" t="s">
        <v>103</v>
      </c>
      <c r="E155" s="24">
        <f>E154+2164.2</f>
        <v>36874.53</v>
      </c>
      <c r="F155" s="29">
        <v>1.6</v>
      </c>
      <c r="G155" s="29">
        <f t="shared" si="39"/>
        <v>74405.87</v>
      </c>
      <c r="H155" s="29">
        <f t="shared" si="39"/>
        <v>692764.75</v>
      </c>
      <c r="I155" s="16">
        <f>I154+3462.72-3462.72</f>
        <v>74405.86</v>
      </c>
      <c r="J155" s="16">
        <f>J154+205599-205599</f>
        <v>692764.74999999988</v>
      </c>
      <c r="K155" s="29">
        <f>I155-G155</f>
        <v>-9.9999999947613105E-3</v>
      </c>
      <c r="L155" s="152">
        <f t="shared" si="38"/>
        <v>0</v>
      </c>
      <c r="M155" s="49"/>
      <c r="N155" s="65"/>
      <c r="O155" s="136"/>
      <c r="P155" s="44"/>
      <c r="Q155" s="44"/>
      <c r="R155" s="284"/>
    </row>
    <row r="156" spans="1:18" s="9" customFormat="1" ht="26.25" customHeight="1" thickBot="1" x14ac:dyDescent="0.3">
      <c r="A156" s="271"/>
      <c r="B156" s="267"/>
      <c r="C156" s="154" t="s">
        <v>25</v>
      </c>
      <c r="D156" s="146" t="s">
        <v>119</v>
      </c>
      <c r="E156" s="24">
        <f>E155+2507.89</f>
        <v>39382.42</v>
      </c>
      <c r="F156" s="29">
        <v>1.6</v>
      </c>
      <c r="G156" s="29">
        <f>G155+0</f>
        <v>74405.87</v>
      </c>
      <c r="H156" s="29">
        <f t="shared" si="39"/>
        <v>692764.75</v>
      </c>
      <c r="I156" s="29">
        <f>I155+4012.61-4012.61</f>
        <v>74405.86</v>
      </c>
      <c r="J156" s="29">
        <f>J155+238249.55-238249.55</f>
        <v>692764.74999999977</v>
      </c>
      <c r="K156" s="29">
        <f>I156-G156</f>
        <v>-9.9999999947613105E-3</v>
      </c>
      <c r="L156" s="152">
        <f t="shared" si="38"/>
        <v>0</v>
      </c>
      <c r="M156" s="121"/>
      <c r="N156" s="203"/>
      <c r="P156" s="44"/>
      <c r="Q156" s="44"/>
      <c r="R156" s="284"/>
    </row>
    <row r="157" spans="1:18" s="9" customFormat="1" ht="26.25" customHeight="1" thickBot="1" x14ac:dyDescent="0.3">
      <c r="A157" s="271"/>
      <c r="B157" s="267"/>
      <c r="C157" s="154" t="s">
        <v>25</v>
      </c>
      <c r="D157" s="146" t="s">
        <v>119</v>
      </c>
      <c r="E157" s="24">
        <f>E156</f>
        <v>39382.42</v>
      </c>
      <c r="F157" s="140" t="s">
        <v>121</v>
      </c>
      <c r="G157" s="189">
        <f>G156/1.95583</f>
        <v>38043.117244341272</v>
      </c>
      <c r="H157" s="189">
        <f>H156/1.95583</f>
        <v>354204.99225392798</v>
      </c>
      <c r="I157" s="189">
        <f>I156/1.95583</f>
        <v>38043.112131422466</v>
      </c>
      <c r="J157" s="189">
        <f>J156/1.95583</f>
        <v>354204.99225392786</v>
      </c>
      <c r="K157" s="189">
        <f>I157-G157</f>
        <v>-5.1129188068443909E-3</v>
      </c>
      <c r="L157" s="228">
        <f t="shared" si="38"/>
        <v>0</v>
      </c>
      <c r="M157" s="121"/>
      <c r="N157" s="203"/>
      <c r="O157" s="135"/>
      <c r="P157" s="44"/>
      <c r="Q157" s="44"/>
      <c r="R157" s="284"/>
    </row>
    <row r="158" spans="1:18" s="9" customFormat="1" ht="26.25" customHeight="1" thickBot="1" x14ac:dyDescent="0.3">
      <c r="A158" s="271"/>
      <c r="B158" s="267"/>
      <c r="C158" s="147" t="s">
        <v>25</v>
      </c>
      <c r="D158" s="188" t="s">
        <v>124</v>
      </c>
      <c r="E158" s="177">
        <f>E157+1559.46</f>
        <v>40941.879999999997</v>
      </c>
      <c r="F158" s="200">
        <v>0.82</v>
      </c>
      <c r="G158" s="200">
        <f>G157+1278.76</f>
        <v>39321.877244341274</v>
      </c>
      <c r="H158" s="200">
        <f>H157+0</f>
        <v>354204.99225392798</v>
      </c>
      <c r="I158" s="200">
        <f>I157+1278.76</f>
        <v>39321.872131422468</v>
      </c>
      <c r="J158" s="200">
        <f>J157+75742.97</f>
        <v>429947.96225392784</v>
      </c>
      <c r="K158" s="200">
        <f>I158-G158</f>
        <v>-5.1129188068443909E-3</v>
      </c>
      <c r="L158" s="235">
        <f t="shared" si="38"/>
        <v>75742.969999999856</v>
      </c>
      <c r="M158" s="181"/>
      <c r="N158" s="183"/>
      <c r="O158" s="202">
        <f>633347.98/1.95583</f>
        <v>323825.68014602497</v>
      </c>
      <c r="P158" s="44"/>
      <c r="Q158" s="44"/>
      <c r="R158" s="284"/>
    </row>
    <row r="159" spans="1:18" ht="28.5" customHeight="1" thickBot="1" x14ac:dyDescent="0.3">
      <c r="A159" s="271"/>
      <c r="B159" s="268"/>
      <c r="C159" s="154" t="s">
        <v>26</v>
      </c>
      <c r="D159" s="204" t="s">
        <v>30</v>
      </c>
      <c r="E159" s="24">
        <v>739.77</v>
      </c>
      <c r="F159" s="29">
        <v>3.12</v>
      </c>
      <c r="G159" s="29">
        <v>2308.09</v>
      </c>
      <c r="H159" s="29">
        <f>595.09+26036.63</f>
        <v>26631.72</v>
      </c>
      <c r="I159" s="29">
        <f>2308.09</f>
        <v>2308.09</v>
      </c>
      <c r="J159" s="29">
        <v>26631.72</v>
      </c>
      <c r="K159" s="29">
        <f t="shared" si="36"/>
        <v>0</v>
      </c>
      <c r="L159" s="29">
        <f t="shared" si="38"/>
        <v>0</v>
      </c>
      <c r="M159" s="121"/>
      <c r="N159" s="203"/>
      <c r="P159" s="19"/>
      <c r="Q159" s="19"/>
      <c r="R159" s="284"/>
    </row>
    <row r="160" spans="1:18" ht="28.5" customHeight="1" thickBot="1" x14ac:dyDescent="0.3">
      <c r="A160" s="271"/>
      <c r="B160" s="122"/>
      <c r="C160" s="147" t="s">
        <v>26</v>
      </c>
      <c r="D160" s="229" t="s">
        <v>30</v>
      </c>
      <c r="E160" s="177">
        <f>E159</f>
        <v>739.77</v>
      </c>
      <c r="F160" s="227" t="s">
        <v>121</v>
      </c>
      <c r="G160" s="200">
        <f>G159/1.95583</f>
        <v>1180.1076780701801</v>
      </c>
      <c r="H160" s="200">
        <f>H159/1.95583</f>
        <v>13616.582218290956</v>
      </c>
      <c r="I160" s="200">
        <f>I159/1.95583</f>
        <v>1180.1076780701801</v>
      </c>
      <c r="J160" s="200">
        <f>J159/1.95583</f>
        <v>13616.582218290956</v>
      </c>
      <c r="K160" s="200">
        <f>I160-G160</f>
        <v>0</v>
      </c>
      <c r="L160" s="200">
        <f t="shared" si="38"/>
        <v>0</v>
      </c>
      <c r="M160" s="205"/>
      <c r="N160" s="206"/>
      <c r="O160" s="207">
        <f>26631.72/1.95583</f>
        <v>13616.582218290956</v>
      </c>
      <c r="P160" s="19"/>
      <c r="Q160" s="19"/>
      <c r="R160" s="284"/>
    </row>
    <row r="161" spans="1:20" ht="45.75" customHeight="1" thickBot="1" x14ac:dyDescent="0.3">
      <c r="A161" s="272"/>
      <c r="B161" s="122"/>
      <c r="C161" s="114" t="s">
        <v>74</v>
      </c>
      <c r="D161" s="54"/>
      <c r="E161" s="208">
        <f>SUM(E124+E141+E158+E160)</f>
        <v>263201.73</v>
      </c>
      <c r="F161" s="196"/>
      <c r="G161" s="190">
        <f t="shared" ref="G161:L161" si="40">G124+G141+G158+G160</f>
        <v>286185.15568633273</v>
      </c>
      <c r="H161" s="190">
        <f t="shared" si="40"/>
        <v>2938917.8967497176</v>
      </c>
      <c r="I161" s="190">
        <f t="shared" si="40"/>
        <v>286185.14624609507</v>
      </c>
      <c r="J161" s="190">
        <f t="shared" si="40"/>
        <v>3320237.0793061764</v>
      </c>
      <c r="K161" s="190">
        <f t="shared" si="40"/>
        <v>-9.4402376134894439E-3</v>
      </c>
      <c r="L161" s="190">
        <f t="shared" si="40"/>
        <v>381319.18255645875</v>
      </c>
      <c r="M161" s="190"/>
      <c r="N161" s="190"/>
      <c r="O161" s="190">
        <f>O122+O123+O141+O158+O160</f>
        <v>392051.86544842855</v>
      </c>
      <c r="P161" s="19"/>
      <c r="Q161" s="19"/>
      <c r="R161" s="285"/>
    </row>
    <row r="162" spans="1:20" s="12" customFormat="1" ht="15.75" thickBot="1" x14ac:dyDescent="0.3">
      <c r="A162" s="68"/>
      <c r="B162" s="68"/>
      <c r="C162" s="167"/>
      <c r="D162" s="36"/>
      <c r="E162" s="37"/>
      <c r="F162" s="37"/>
      <c r="G162" s="37"/>
      <c r="H162" s="37"/>
      <c r="I162" s="37"/>
      <c r="J162" s="37"/>
      <c r="K162" s="37"/>
      <c r="L162" s="37"/>
      <c r="M162" s="38"/>
      <c r="N162" s="38"/>
      <c r="O162" s="38"/>
      <c r="P162" s="39"/>
      <c r="Q162" s="39"/>
      <c r="R162" s="119"/>
    </row>
    <row r="163" spans="1:20" ht="15.75" customHeight="1" thickBot="1" x14ac:dyDescent="0.3">
      <c r="A163" s="239">
        <v>4</v>
      </c>
      <c r="B163" s="239" t="s">
        <v>69</v>
      </c>
      <c r="C163" s="53" t="s">
        <v>27</v>
      </c>
      <c r="D163" s="165" t="s">
        <v>4</v>
      </c>
      <c r="E163" s="69">
        <v>2290</v>
      </c>
      <c r="F163" s="70">
        <v>4.5199999999999996</v>
      </c>
      <c r="G163" s="66">
        <v>11166.39</v>
      </c>
      <c r="H163" s="66">
        <v>9953.34</v>
      </c>
      <c r="I163" s="66">
        <v>11166.39</v>
      </c>
      <c r="J163" s="66">
        <v>9953.34</v>
      </c>
      <c r="K163" s="66">
        <f t="shared" ref="K163:K171" si="41">I163-G163</f>
        <v>0</v>
      </c>
      <c r="L163" s="66">
        <f t="shared" ref="L163:L171" si="42">J163-H163</f>
        <v>0</v>
      </c>
      <c r="M163" s="71"/>
      <c r="N163" s="71"/>
      <c r="O163" s="72"/>
      <c r="P163" s="19"/>
      <c r="Q163" s="158"/>
      <c r="R163" s="246" t="s">
        <v>102</v>
      </c>
      <c r="S163" s="1"/>
      <c r="T163" s="1"/>
    </row>
    <row r="164" spans="1:20" ht="15.75" thickBot="1" x14ac:dyDescent="0.3">
      <c r="A164" s="240"/>
      <c r="B164" s="240"/>
      <c r="C164" s="53" t="s">
        <v>27</v>
      </c>
      <c r="D164" s="165" t="s">
        <v>5</v>
      </c>
      <c r="E164" s="69">
        <f>2083+E163</f>
        <v>4373</v>
      </c>
      <c r="F164" s="73">
        <v>5.0599999999999996</v>
      </c>
      <c r="G164" s="66">
        <f>10540+G163</f>
        <v>21706.39</v>
      </c>
      <c r="H164" s="66">
        <f>18747+H163</f>
        <v>28700.34</v>
      </c>
      <c r="I164" s="66">
        <f>10539.98+I163</f>
        <v>21706.37</v>
      </c>
      <c r="J164" s="66">
        <f>18747+J163</f>
        <v>28700.34</v>
      </c>
      <c r="K164" s="66">
        <f t="shared" si="41"/>
        <v>-2.0000000000436557E-2</v>
      </c>
      <c r="L164" s="66">
        <f t="shared" si="42"/>
        <v>0</v>
      </c>
      <c r="M164" s="71"/>
      <c r="N164" s="71"/>
      <c r="O164" s="72"/>
      <c r="P164" s="19"/>
      <c r="Q164" s="158"/>
      <c r="R164" s="247"/>
      <c r="S164" s="1"/>
      <c r="T164" s="1"/>
    </row>
    <row r="165" spans="1:20" ht="15.75" thickBot="1" x14ac:dyDescent="0.3">
      <c r="A165" s="240"/>
      <c r="B165" s="240"/>
      <c r="C165" s="53" t="s">
        <v>27</v>
      </c>
      <c r="D165" s="165" t="s">
        <v>6</v>
      </c>
      <c r="E165" s="69">
        <f>1791.52+E164</f>
        <v>6164.52</v>
      </c>
      <c r="F165" s="73">
        <v>5.74</v>
      </c>
      <c r="G165" s="66">
        <f>10283.44+G164</f>
        <v>31989.83</v>
      </c>
      <c r="H165" s="66">
        <f>26873.1+H164</f>
        <v>55573.440000000002</v>
      </c>
      <c r="I165" s="66">
        <f>10283.32+I164</f>
        <v>31989.69</v>
      </c>
      <c r="J165" s="66">
        <f>26872.8+J164</f>
        <v>55573.14</v>
      </c>
      <c r="K165" s="66">
        <f t="shared" si="41"/>
        <v>-0.1400000000030559</v>
      </c>
      <c r="L165" s="66">
        <f t="shared" si="42"/>
        <v>-0.30000000000291038</v>
      </c>
      <c r="M165" s="71"/>
      <c r="N165" s="71"/>
      <c r="O165" s="72"/>
      <c r="P165" s="19"/>
      <c r="Q165" s="158"/>
      <c r="R165" s="247"/>
      <c r="S165" s="1"/>
      <c r="T165" s="1"/>
    </row>
    <row r="166" spans="1:20" ht="15.75" thickBot="1" x14ac:dyDescent="0.3">
      <c r="A166" s="240"/>
      <c r="B166" s="240"/>
      <c r="C166" s="40" t="s">
        <v>27</v>
      </c>
      <c r="D166" s="110" t="s">
        <v>7</v>
      </c>
      <c r="E166" s="69">
        <f>1939+E165</f>
        <v>8103.52</v>
      </c>
      <c r="F166" s="74">
        <v>6.43</v>
      </c>
      <c r="G166" s="66">
        <f>12466.94+G165</f>
        <v>44456.770000000004</v>
      </c>
      <c r="H166" s="66">
        <f>42655.14+H165</f>
        <v>98228.58</v>
      </c>
      <c r="I166" s="66">
        <f>12466.93+I165</f>
        <v>44456.619999999995</v>
      </c>
      <c r="J166" s="66">
        <f>42655.14+J165</f>
        <v>98228.28</v>
      </c>
      <c r="K166" s="66">
        <f t="shared" si="41"/>
        <v>-0.15000000000873115</v>
      </c>
      <c r="L166" s="66">
        <f t="shared" si="42"/>
        <v>-0.30000000000291038</v>
      </c>
      <c r="M166" s="71"/>
      <c r="N166" s="71"/>
      <c r="O166" s="72"/>
      <c r="P166" s="19"/>
      <c r="Q166" s="158"/>
      <c r="R166" s="247"/>
      <c r="S166" s="1"/>
      <c r="T166" s="1"/>
    </row>
    <row r="167" spans="1:20" ht="210.75" thickBot="1" x14ac:dyDescent="0.3">
      <c r="A167" s="240"/>
      <c r="B167" s="240"/>
      <c r="C167" s="40" t="s">
        <v>27</v>
      </c>
      <c r="D167" s="110" t="s">
        <v>8</v>
      </c>
      <c r="E167" s="69">
        <f>1990.54+E166</f>
        <v>10094.060000000001</v>
      </c>
      <c r="F167" s="73">
        <v>6.43</v>
      </c>
      <c r="G167" s="75">
        <f>12799.17+G166</f>
        <v>57255.94</v>
      </c>
      <c r="H167" s="75">
        <f>55735.12+H166</f>
        <v>153963.70000000001</v>
      </c>
      <c r="I167" s="66">
        <f>12799.17+I166</f>
        <v>57255.789999999994</v>
      </c>
      <c r="J167" s="66">
        <f>55735.12+J166</f>
        <v>153963.4</v>
      </c>
      <c r="K167" s="66">
        <f t="shared" si="41"/>
        <v>-0.15000000000873115</v>
      </c>
      <c r="L167" s="66">
        <f t="shared" si="42"/>
        <v>-0.3000000000174623</v>
      </c>
      <c r="M167" s="116">
        <v>3355.23</v>
      </c>
      <c r="N167" s="254">
        <f>4287.12+8612.22+4173.04</f>
        <v>17072.38</v>
      </c>
      <c r="O167" s="76" t="s">
        <v>52</v>
      </c>
      <c r="P167" s="19"/>
      <c r="Q167" s="158"/>
      <c r="R167" s="247"/>
      <c r="S167" s="1"/>
      <c r="T167" s="1"/>
    </row>
    <row r="168" spans="1:20" ht="225.75" thickBot="1" x14ac:dyDescent="0.3">
      <c r="A168" s="240"/>
      <c r="B168" s="240"/>
      <c r="C168" s="40" t="s">
        <v>27</v>
      </c>
      <c r="D168" s="110" t="s">
        <v>21</v>
      </c>
      <c r="E168" s="69">
        <f>1311.67+E167</f>
        <v>11405.730000000001</v>
      </c>
      <c r="F168" s="73">
        <v>6.43</v>
      </c>
      <c r="G168" s="75">
        <f>8434.04+G167</f>
        <v>65689.98000000001</v>
      </c>
      <c r="H168" s="75">
        <f>47220.12+H167</f>
        <v>201183.82</v>
      </c>
      <c r="I168" s="75">
        <f>8434.04+I167</f>
        <v>65689.829999999987</v>
      </c>
      <c r="J168" s="75">
        <f>47220.12+J167</f>
        <v>201183.52</v>
      </c>
      <c r="K168" s="75">
        <f t="shared" si="41"/>
        <v>-0.15000000002328306</v>
      </c>
      <c r="L168" s="75">
        <f t="shared" si="42"/>
        <v>-0.3000000000174623</v>
      </c>
      <c r="M168" s="116">
        <v>124.77</v>
      </c>
      <c r="N168" s="255"/>
      <c r="O168" s="76" t="s">
        <v>53</v>
      </c>
      <c r="P168" s="19"/>
      <c r="Q168" s="158"/>
      <c r="R168" s="247"/>
      <c r="S168" s="1"/>
      <c r="T168" s="1"/>
    </row>
    <row r="169" spans="1:20" ht="165.75" thickBot="1" x14ac:dyDescent="0.3">
      <c r="A169" s="240"/>
      <c r="B169" s="240"/>
      <c r="C169" s="40" t="s">
        <v>27</v>
      </c>
      <c r="D169" s="110" t="s">
        <v>37</v>
      </c>
      <c r="E169" s="69">
        <f>1339.94+E168</f>
        <v>12745.670000000002</v>
      </c>
      <c r="F169" s="77">
        <v>3.11</v>
      </c>
      <c r="G169" s="75">
        <f>4167.21+G168</f>
        <v>69857.190000000017</v>
      </c>
      <c r="H169" s="75">
        <f>53597.6+H168</f>
        <v>254781.42</v>
      </c>
      <c r="I169" s="75">
        <f>4167.21+I168</f>
        <v>69857.039999999994</v>
      </c>
      <c r="J169" s="75">
        <f>53597.6+J168</f>
        <v>254781.12</v>
      </c>
      <c r="K169" s="75">
        <f t="shared" si="41"/>
        <v>-0.15000000002328306</v>
      </c>
      <c r="L169" s="75">
        <f t="shared" si="42"/>
        <v>-0.3000000000174623</v>
      </c>
      <c r="M169" s="49"/>
      <c r="N169" s="49"/>
      <c r="O169" s="76" t="s">
        <v>54</v>
      </c>
      <c r="P169" s="19"/>
      <c r="Q169" s="158"/>
      <c r="R169" s="247"/>
      <c r="S169" s="1"/>
      <c r="T169" s="1"/>
    </row>
    <row r="170" spans="1:20" ht="90.75" thickBot="1" x14ac:dyDescent="0.3">
      <c r="A170" s="240"/>
      <c r="B170" s="240"/>
      <c r="C170" s="40" t="s">
        <v>27</v>
      </c>
      <c r="D170" s="110" t="s">
        <v>39</v>
      </c>
      <c r="E170" s="69">
        <f>303.49+311.78+288.3+324.4+E169</f>
        <v>13973.640000000001</v>
      </c>
      <c r="F170" s="77">
        <v>3.11</v>
      </c>
      <c r="G170" s="75">
        <f>3818.99+G169</f>
        <v>73676.180000000022</v>
      </c>
      <c r="H170" s="75">
        <f>27629.32+H169</f>
        <v>282410.74</v>
      </c>
      <c r="I170" s="75">
        <f>3818.99+I169</f>
        <v>73676.03</v>
      </c>
      <c r="J170" s="75">
        <f>(13657.05+12973.5+14598+14030.1)/2+J169</f>
        <v>282410.44500000001</v>
      </c>
      <c r="K170" s="75">
        <f t="shared" si="41"/>
        <v>-0.15000000002328306</v>
      </c>
      <c r="L170" s="75">
        <f t="shared" si="42"/>
        <v>-0.29499999998370185</v>
      </c>
      <c r="M170" s="49"/>
      <c r="N170" s="49"/>
      <c r="O170" s="79" t="s">
        <v>77</v>
      </c>
      <c r="P170" s="19"/>
      <c r="Q170" s="158"/>
      <c r="R170" s="247"/>
      <c r="S170" s="1"/>
      <c r="T170" s="1"/>
    </row>
    <row r="171" spans="1:20" ht="14.25" customHeight="1" thickBot="1" x14ac:dyDescent="0.3">
      <c r="A171" s="240"/>
      <c r="B171" s="240"/>
      <c r="C171" s="40" t="s">
        <v>35</v>
      </c>
      <c r="D171" s="110" t="s">
        <v>39</v>
      </c>
      <c r="E171" s="69">
        <f>33.48+43.58+12.83+30.12</f>
        <v>120.01</v>
      </c>
      <c r="F171" s="77">
        <v>3.11</v>
      </c>
      <c r="G171" s="75">
        <f>373.23</f>
        <v>373.23</v>
      </c>
      <c r="H171" s="75">
        <f>5400.45</f>
        <v>5400.45</v>
      </c>
      <c r="I171" s="75">
        <f>373.23</f>
        <v>373.23</v>
      </c>
      <c r="J171" s="75">
        <f>1488.6+1979.1+577.35+1355.4</f>
        <v>5400.45</v>
      </c>
      <c r="K171" s="75">
        <f t="shared" si="41"/>
        <v>0</v>
      </c>
      <c r="L171" s="75">
        <f t="shared" si="42"/>
        <v>0</v>
      </c>
      <c r="M171" s="49"/>
      <c r="N171" s="49"/>
      <c r="O171" s="78"/>
      <c r="P171" s="19"/>
      <c r="Q171" s="158"/>
      <c r="R171" s="247"/>
      <c r="S171" s="1"/>
      <c r="T171" s="1"/>
    </row>
    <row r="172" spans="1:20" s="9" customFormat="1" ht="298.5" customHeight="1" thickBot="1" x14ac:dyDescent="0.3">
      <c r="A172" s="240"/>
      <c r="B172" s="240"/>
      <c r="C172" s="40" t="s">
        <v>27</v>
      </c>
      <c r="D172" s="110" t="s">
        <v>66</v>
      </c>
      <c r="E172" s="69">
        <f>1234.43+E170</f>
        <v>15208.070000000002</v>
      </c>
      <c r="F172" s="77">
        <v>3.11</v>
      </c>
      <c r="G172" s="75">
        <f>3839.08+G170</f>
        <v>77515.260000000024</v>
      </c>
      <c r="H172" s="75">
        <f>70362.51+H170-35181.26</f>
        <v>317591.99</v>
      </c>
      <c r="I172" s="66">
        <f>3839.08+I170</f>
        <v>77515.11</v>
      </c>
      <c r="J172" s="75">
        <f>(70362.51/2)+J170</f>
        <v>317591.7</v>
      </c>
      <c r="K172" s="75">
        <f t="shared" ref="K172:L177" si="43">I172-G172</f>
        <v>-0.15000000002328306</v>
      </c>
      <c r="L172" s="75">
        <f t="shared" si="43"/>
        <v>-0.28999999997904524</v>
      </c>
      <c r="M172" s="49"/>
      <c r="N172" s="49"/>
      <c r="O172" s="131" t="s">
        <v>91</v>
      </c>
      <c r="P172" s="27"/>
      <c r="Q172" s="159"/>
      <c r="R172" s="247"/>
      <c r="S172" s="10"/>
      <c r="T172" s="10"/>
    </row>
    <row r="173" spans="1:20" s="9" customFormat="1" ht="30" customHeight="1" thickBot="1" x14ac:dyDescent="0.3">
      <c r="A173" s="240"/>
      <c r="B173" s="240"/>
      <c r="C173" s="40" t="s">
        <v>35</v>
      </c>
      <c r="D173" s="110" t="s">
        <v>66</v>
      </c>
      <c r="E173" s="69">
        <f>95.6+E171</f>
        <v>215.61</v>
      </c>
      <c r="F173" s="77">
        <v>3.11</v>
      </c>
      <c r="G173" s="75">
        <f>G171+297.31</f>
        <v>670.54</v>
      </c>
      <c r="H173" s="75">
        <f>H171+5449.2</f>
        <v>10849.65</v>
      </c>
      <c r="I173" s="66">
        <f>297.32+I171</f>
        <v>670.55</v>
      </c>
      <c r="J173" s="66">
        <f>5449.2+J171</f>
        <v>10849.65</v>
      </c>
      <c r="K173" s="75">
        <f t="shared" si="43"/>
        <v>9.9999999999909051E-3</v>
      </c>
      <c r="L173" s="75">
        <f t="shared" si="43"/>
        <v>0</v>
      </c>
      <c r="M173" s="49"/>
      <c r="N173" s="49"/>
      <c r="O173" s="78"/>
      <c r="P173" s="27"/>
      <c r="Q173" s="159"/>
      <c r="R173" s="247"/>
      <c r="S173" s="10"/>
      <c r="T173" s="10"/>
    </row>
    <row r="174" spans="1:20" s="9" customFormat="1" ht="28.5" customHeight="1" thickBot="1" x14ac:dyDescent="0.3">
      <c r="A174" s="240"/>
      <c r="B174" s="240"/>
      <c r="C174" s="40" t="s">
        <v>27</v>
      </c>
      <c r="D174" s="110" t="s">
        <v>78</v>
      </c>
      <c r="E174" s="69">
        <f>E172+1281.15</f>
        <v>16489.22</v>
      </c>
      <c r="F174" s="120">
        <v>3.11</v>
      </c>
      <c r="G174" s="75">
        <f>G172+653.16</f>
        <v>78168.420000000027</v>
      </c>
      <c r="H174" s="75">
        <f>H172+19951.9</f>
        <v>337543.89</v>
      </c>
      <c r="I174" s="75">
        <f>I172+3984.38-3331.22</f>
        <v>78168.27</v>
      </c>
      <c r="J174" s="75">
        <f>J172+95524.91-75573.01</f>
        <v>337543.6</v>
      </c>
      <c r="K174" s="75">
        <f t="shared" si="43"/>
        <v>-0.15000000002328306</v>
      </c>
      <c r="L174" s="75">
        <f t="shared" si="43"/>
        <v>-0.2900000000372529</v>
      </c>
      <c r="M174" s="49"/>
      <c r="N174" s="49"/>
      <c r="O174" s="79"/>
      <c r="P174" s="27"/>
      <c r="Q174" s="159"/>
      <c r="R174" s="247"/>
      <c r="S174" s="10"/>
      <c r="T174" s="10"/>
    </row>
    <row r="175" spans="1:20" s="9" customFormat="1" ht="30" customHeight="1" thickBot="1" x14ac:dyDescent="0.3">
      <c r="A175" s="240"/>
      <c r="B175" s="240"/>
      <c r="C175" s="40" t="s">
        <v>35</v>
      </c>
      <c r="D175" s="110" t="s">
        <v>78</v>
      </c>
      <c r="E175" s="69">
        <f>E173+109.29</f>
        <v>324.90000000000003</v>
      </c>
      <c r="F175" s="120">
        <v>3.11</v>
      </c>
      <c r="G175" s="75">
        <f>G173+210.29-210.29+49.67</f>
        <v>720.20999999999992</v>
      </c>
      <c r="H175" s="75">
        <f>H173+6182.93-4665.78</f>
        <v>12366.800000000003</v>
      </c>
      <c r="I175" s="75">
        <f>I173+339.89-290.22</f>
        <v>720.21999999999991</v>
      </c>
      <c r="J175" s="75">
        <f>J173+8089.87-6572.72</f>
        <v>12366.8</v>
      </c>
      <c r="K175" s="75">
        <f t="shared" si="43"/>
        <v>9.9999999999909051E-3</v>
      </c>
      <c r="L175" s="75">
        <f t="shared" si="43"/>
        <v>0</v>
      </c>
      <c r="M175" s="49"/>
      <c r="N175" s="49"/>
      <c r="O175" s="78"/>
      <c r="P175" s="27"/>
      <c r="Q175" s="159"/>
      <c r="R175" s="247"/>
      <c r="S175" s="10"/>
      <c r="T175" s="10"/>
    </row>
    <row r="176" spans="1:20" s="9" customFormat="1" ht="30" customHeight="1" thickBot="1" x14ac:dyDescent="0.3">
      <c r="A176" s="240"/>
      <c r="B176" s="240"/>
      <c r="C176" s="40" t="s">
        <v>27</v>
      </c>
      <c r="D176" s="110" t="s">
        <v>81</v>
      </c>
      <c r="E176" s="139">
        <f>E174+1299.92</f>
        <v>17789.14</v>
      </c>
      <c r="F176" s="120">
        <v>3.11</v>
      </c>
      <c r="G176" s="75">
        <f>G174+4042.74</f>
        <v>82211.160000000033</v>
      </c>
      <c r="H176" s="75">
        <f>H174+106593.44-18000+360</f>
        <v>426497.33</v>
      </c>
      <c r="I176" s="75">
        <f>I174+4042.75</f>
        <v>82211.02</v>
      </c>
      <c r="J176" s="75">
        <f>J174+106593.44-18000+360</f>
        <v>426497.04</v>
      </c>
      <c r="K176" s="75">
        <f t="shared" si="43"/>
        <v>-0.14000000002852175</v>
      </c>
      <c r="L176" s="75">
        <f t="shared" si="43"/>
        <v>-0.2900000000372529</v>
      </c>
      <c r="M176" s="49"/>
      <c r="N176" s="49"/>
      <c r="O176" s="138" t="s">
        <v>80</v>
      </c>
      <c r="P176" s="27"/>
      <c r="Q176" s="159"/>
      <c r="R176" s="247"/>
      <c r="S176" s="10"/>
      <c r="T176" s="10"/>
    </row>
    <row r="177" spans="1:20" s="9" customFormat="1" ht="30" customHeight="1" thickBot="1" x14ac:dyDescent="0.3">
      <c r="A177" s="240"/>
      <c r="B177" s="240"/>
      <c r="C177" s="40" t="s">
        <v>35</v>
      </c>
      <c r="D177" s="110" t="s">
        <v>81</v>
      </c>
      <c r="E177" s="139">
        <f>E175+73.98</f>
        <v>398.88000000000005</v>
      </c>
      <c r="F177" s="120">
        <v>3.11</v>
      </c>
      <c r="G177" s="75">
        <f>G175+230.09</f>
        <v>950.3</v>
      </c>
      <c r="H177" s="75">
        <f>H175+6066.36</f>
        <v>18433.160000000003</v>
      </c>
      <c r="I177" s="75">
        <f>I175+230.08</f>
        <v>950.3</v>
      </c>
      <c r="J177" s="75">
        <f>J175+6066.36</f>
        <v>18433.16</v>
      </c>
      <c r="K177" s="75">
        <f t="shared" si="43"/>
        <v>0</v>
      </c>
      <c r="L177" s="75">
        <f t="shared" si="43"/>
        <v>0</v>
      </c>
      <c r="M177" s="49"/>
      <c r="N177" s="49"/>
      <c r="O177" s="78"/>
      <c r="P177" s="27"/>
      <c r="Q177" s="159"/>
      <c r="R177" s="247"/>
      <c r="S177" s="10"/>
      <c r="T177" s="10"/>
    </row>
    <row r="178" spans="1:20" s="9" customFormat="1" ht="22.5" customHeight="1" thickBot="1" x14ac:dyDescent="0.3">
      <c r="A178" s="240"/>
      <c r="B178" s="240"/>
      <c r="C178" s="40" t="s">
        <v>27</v>
      </c>
      <c r="D178" s="110" t="s">
        <v>98</v>
      </c>
      <c r="E178" s="139">
        <f>E176+1177.72</f>
        <v>18966.86</v>
      </c>
      <c r="F178" s="120">
        <v>3.11</v>
      </c>
      <c r="G178" s="75">
        <f>G176+3662.71</f>
        <v>85873.870000000039</v>
      </c>
      <c r="H178" s="75">
        <f t="shared" ref="G178:H181" si="44">H176+0</f>
        <v>426497.33</v>
      </c>
      <c r="I178" s="75">
        <f>I176+3662.71</f>
        <v>85873.73000000001</v>
      </c>
      <c r="J178" s="75">
        <f>J176+111883.4-111883.4</f>
        <v>426497.03999999992</v>
      </c>
      <c r="K178" s="75">
        <f t="shared" ref="K178:L186" si="45">I178-G178</f>
        <v>-0.14000000002852175</v>
      </c>
      <c r="L178" s="75">
        <f t="shared" si="45"/>
        <v>-0.29000000009546056</v>
      </c>
      <c r="M178" s="49"/>
      <c r="N178" s="49"/>
      <c r="O178" s="132"/>
      <c r="P178" s="27"/>
      <c r="Q178" s="159"/>
      <c r="R178" s="247"/>
      <c r="S178" s="10"/>
      <c r="T178" s="10"/>
    </row>
    <row r="179" spans="1:20" s="9" customFormat="1" ht="30" customHeight="1" thickBot="1" x14ac:dyDescent="0.3">
      <c r="A179" s="240"/>
      <c r="B179" s="240"/>
      <c r="C179" s="40" t="s">
        <v>35</v>
      </c>
      <c r="D179" s="110" t="s">
        <v>98</v>
      </c>
      <c r="E179" s="139">
        <f>E177+69.07</f>
        <v>467.95000000000005</v>
      </c>
      <c r="F179" s="120">
        <v>3.11</v>
      </c>
      <c r="G179" s="75">
        <f>G177+214.81</f>
        <v>1165.1099999999999</v>
      </c>
      <c r="H179" s="75">
        <f t="shared" si="44"/>
        <v>18433.160000000003</v>
      </c>
      <c r="I179" s="75">
        <f>I177+214.81</f>
        <v>1165.1099999999999</v>
      </c>
      <c r="J179" s="75">
        <f>J177+6561.65-6561.65</f>
        <v>18433.159999999996</v>
      </c>
      <c r="K179" s="75">
        <f t="shared" si="45"/>
        <v>0</v>
      </c>
      <c r="L179" s="75">
        <f t="shared" si="45"/>
        <v>0</v>
      </c>
      <c r="M179" s="49"/>
      <c r="N179" s="49"/>
      <c r="O179" s="132"/>
      <c r="P179" s="27"/>
      <c r="Q179" s="159"/>
      <c r="R179" s="247"/>
      <c r="S179" s="10"/>
      <c r="T179" s="10"/>
    </row>
    <row r="180" spans="1:20" s="9" customFormat="1" ht="22.5" customHeight="1" thickBot="1" x14ac:dyDescent="0.3">
      <c r="A180" s="240"/>
      <c r="B180" s="240"/>
      <c r="C180" s="40" t="s">
        <v>27</v>
      </c>
      <c r="D180" s="110" t="s">
        <v>99</v>
      </c>
      <c r="E180" s="139">
        <f>E178+1731.66</f>
        <v>20698.52</v>
      </c>
      <c r="F180" s="120">
        <v>3.11</v>
      </c>
      <c r="G180" s="75">
        <f t="shared" si="44"/>
        <v>85873.870000000039</v>
      </c>
      <c r="H180" s="75">
        <f t="shared" si="44"/>
        <v>426497.33</v>
      </c>
      <c r="I180" s="75">
        <f>I178+5385.46-5385.46</f>
        <v>85873.73000000001</v>
      </c>
      <c r="J180" s="75">
        <f>J178+164507.7-164507.7</f>
        <v>426497.04</v>
      </c>
      <c r="K180" s="75">
        <f t="shared" si="45"/>
        <v>-0.14000000002852175</v>
      </c>
      <c r="L180" s="75">
        <f t="shared" si="45"/>
        <v>-0.2900000000372529</v>
      </c>
      <c r="M180" s="49"/>
      <c r="N180" s="49"/>
      <c r="O180" s="132"/>
      <c r="P180" s="27"/>
      <c r="Q180" s="159"/>
      <c r="R180" s="247"/>
      <c r="S180" s="10"/>
      <c r="T180" s="10"/>
    </row>
    <row r="181" spans="1:20" s="9" customFormat="1" ht="30" customHeight="1" thickBot="1" x14ac:dyDescent="0.3">
      <c r="A181" s="240"/>
      <c r="B181" s="240"/>
      <c r="C181" s="40" t="s">
        <v>35</v>
      </c>
      <c r="D181" s="110" t="s">
        <v>99</v>
      </c>
      <c r="E181" s="139">
        <f>E179+106.29</f>
        <v>574.24</v>
      </c>
      <c r="F181" s="120">
        <v>3.11</v>
      </c>
      <c r="G181" s="75">
        <f t="shared" si="44"/>
        <v>1165.1099999999999</v>
      </c>
      <c r="H181" s="75">
        <f t="shared" si="44"/>
        <v>18433.160000000003</v>
      </c>
      <c r="I181" s="75">
        <f>I179+330.56-330.56</f>
        <v>1165.1099999999999</v>
      </c>
      <c r="J181" s="75">
        <f>J179+10097.55-10097.55</f>
        <v>18433.159999999996</v>
      </c>
      <c r="K181" s="75">
        <f t="shared" si="45"/>
        <v>0</v>
      </c>
      <c r="L181" s="75">
        <f t="shared" si="45"/>
        <v>0</v>
      </c>
      <c r="M181" s="49"/>
      <c r="N181" s="49"/>
      <c r="O181" s="132"/>
      <c r="P181" s="27"/>
      <c r="Q181" s="159"/>
      <c r="R181" s="247"/>
      <c r="S181" s="10"/>
      <c r="T181" s="10"/>
    </row>
    <row r="182" spans="1:20" s="9" customFormat="1" ht="30" customHeight="1" thickBot="1" x14ac:dyDescent="0.3">
      <c r="A182" s="240"/>
      <c r="B182" s="240"/>
      <c r="C182" s="40" t="s">
        <v>27</v>
      </c>
      <c r="D182" s="110" t="s">
        <v>103</v>
      </c>
      <c r="E182" s="139">
        <f>E180+1291.99</f>
        <v>21990.510000000002</v>
      </c>
      <c r="F182" s="120">
        <v>3.11</v>
      </c>
      <c r="G182" s="75">
        <f t="shared" ref="G182:H184" si="46">G180+0</f>
        <v>85873.870000000039</v>
      </c>
      <c r="H182" s="75">
        <f t="shared" si="46"/>
        <v>426497.33</v>
      </c>
      <c r="I182" s="75">
        <f>I180+4018.07-4018.07</f>
        <v>85873.73000000001</v>
      </c>
      <c r="J182" s="75">
        <f>J180+122738.58-122738.58</f>
        <v>426497.04</v>
      </c>
      <c r="K182" s="75">
        <f t="shared" si="45"/>
        <v>-0.14000000002852175</v>
      </c>
      <c r="L182" s="75">
        <f t="shared" si="45"/>
        <v>-0.2900000000372529</v>
      </c>
      <c r="M182" s="49"/>
      <c r="N182" s="49"/>
      <c r="O182" s="132"/>
      <c r="P182" s="27"/>
      <c r="Q182" s="159"/>
      <c r="R182" s="247"/>
      <c r="S182" s="10"/>
      <c r="T182" s="10"/>
    </row>
    <row r="183" spans="1:20" s="9" customFormat="1" ht="30" customHeight="1" thickBot="1" x14ac:dyDescent="0.3">
      <c r="A183" s="240"/>
      <c r="B183" s="240"/>
      <c r="C183" s="40" t="s">
        <v>35</v>
      </c>
      <c r="D183" s="110" t="s">
        <v>103</v>
      </c>
      <c r="E183" s="139">
        <f>E181+59.46</f>
        <v>633.70000000000005</v>
      </c>
      <c r="F183" s="120">
        <v>3.11</v>
      </c>
      <c r="G183" s="75">
        <f t="shared" si="46"/>
        <v>1165.1099999999999</v>
      </c>
      <c r="H183" s="75">
        <f t="shared" si="46"/>
        <v>18433.160000000003</v>
      </c>
      <c r="I183" s="75">
        <f>I181+184.92-184.92</f>
        <v>1165.1099999999999</v>
      </c>
      <c r="J183" s="75">
        <f>J181+5648.7-5648.7</f>
        <v>18433.159999999996</v>
      </c>
      <c r="K183" s="75">
        <f t="shared" si="45"/>
        <v>0</v>
      </c>
      <c r="L183" s="75">
        <f t="shared" si="45"/>
        <v>0</v>
      </c>
      <c r="M183" s="49"/>
      <c r="N183" s="49"/>
      <c r="O183" s="132"/>
      <c r="P183" s="27"/>
      <c r="Q183" s="159"/>
      <c r="R183" s="247"/>
      <c r="S183" s="10"/>
      <c r="T183" s="10"/>
    </row>
    <row r="184" spans="1:20" s="9" customFormat="1" ht="30" customHeight="1" thickBot="1" x14ac:dyDescent="0.3">
      <c r="A184" s="240"/>
      <c r="B184" s="240"/>
      <c r="C184" s="40" t="s">
        <v>27</v>
      </c>
      <c r="D184" s="146" t="s">
        <v>119</v>
      </c>
      <c r="E184" s="139">
        <f>E182+969.81</f>
        <v>22960.320000000003</v>
      </c>
      <c r="F184" s="120">
        <v>3.11</v>
      </c>
      <c r="G184" s="75">
        <f t="shared" si="46"/>
        <v>85873.870000000039</v>
      </c>
      <c r="H184" s="75">
        <f t="shared" si="46"/>
        <v>426497.33</v>
      </c>
      <c r="I184" s="75">
        <f>I182+3016.09-3016.09</f>
        <v>85873.73000000001</v>
      </c>
      <c r="J184" s="75">
        <f>J182+92131.59-92131.59</f>
        <v>426497.04000000004</v>
      </c>
      <c r="K184" s="75">
        <f t="shared" si="45"/>
        <v>-0.14000000002852175</v>
      </c>
      <c r="L184" s="75">
        <f t="shared" si="45"/>
        <v>-0.28999999997904524</v>
      </c>
      <c r="M184" s="49"/>
      <c r="N184" s="49"/>
      <c r="O184" s="132"/>
      <c r="P184" s="27"/>
      <c r="Q184" s="159"/>
      <c r="R184" s="247"/>
      <c r="S184" s="10"/>
      <c r="T184" s="10"/>
    </row>
    <row r="185" spans="1:20" s="9" customFormat="1" ht="45" customHeight="1" thickBot="1" x14ac:dyDescent="0.3">
      <c r="A185" s="240"/>
      <c r="B185" s="240"/>
      <c r="C185" s="258" t="s">
        <v>118</v>
      </c>
      <c r="D185" s="259"/>
      <c r="E185" s="260"/>
      <c r="F185" s="120"/>
      <c r="G185" s="75"/>
      <c r="H185" s="75"/>
      <c r="I185" s="75"/>
      <c r="J185" s="75">
        <v>169424.78</v>
      </c>
      <c r="K185" s="75"/>
      <c r="L185" s="75">
        <f t="shared" si="45"/>
        <v>169424.78</v>
      </c>
      <c r="M185" s="49"/>
      <c r="N185" s="49"/>
      <c r="O185" s="132"/>
      <c r="P185" s="27"/>
      <c r="Q185" s="159"/>
      <c r="R185" s="247"/>
      <c r="S185" s="10"/>
      <c r="T185" s="10"/>
    </row>
    <row r="186" spans="1:20" s="9" customFormat="1" ht="30" customHeight="1" thickBot="1" x14ac:dyDescent="0.3">
      <c r="A186" s="240"/>
      <c r="B186" s="240"/>
      <c r="C186" s="40" t="s">
        <v>35</v>
      </c>
      <c r="D186" s="146" t="s">
        <v>119</v>
      </c>
      <c r="E186" s="139">
        <f>E183+190.72</f>
        <v>824.42000000000007</v>
      </c>
      <c r="F186" s="120">
        <v>3.11</v>
      </c>
      <c r="G186" s="75">
        <f>G183+0</f>
        <v>1165.1099999999999</v>
      </c>
      <c r="H186" s="75">
        <f>H183+0</f>
        <v>18433.160000000003</v>
      </c>
      <c r="I186" s="75">
        <f>I183+593.16-593.16</f>
        <v>1165.1100000000001</v>
      </c>
      <c r="J186" s="75">
        <f>J183+18118.59-18118.59</f>
        <v>18433.16</v>
      </c>
      <c r="K186" s="75">
        <f t="shared" si="45"/>
        <v>0</v>
      </c>
      <c r="L186" s="75">
        <f t="shared" si="45"/>
        <v>0</v>
      </c>
      <c r="M186" s="49"/>
      <c r="N186" s="49"/>
      <c r="O186" s="132"/>
      <c r="P186" s="27"/>
      <c r="Q186" s="159"/>
      <c r="R186" s="247"/>
      <c r="S186" s="10"/>
      <c r="T186" s="10"/>
    </row>
    <row r="187" spans="1:20" s="9" customFormat="1" ht="30" customHeight="1" thickBot="1" x14ac:dyDescent="0.3">
      <c r="A187" s="240"/>
      <c r="B187" s="240"/>
      <c r="C187" s="40" t="s">
        <v>27</v>
      </c>
      <c r="D187" s="146" t="s">
        <v>119</v>
      </c>
      <c r="E187" s="139">
        <f>SUM(E184)</f>
        <v>22960.320000000003</v>
      </c>
      <c r="F187" s="140" t="s">
        <v>121</v>
      </c>
      <c r="G187" s="222">
        <f>G184/1.95583</f>
        <v>43906.612537899535</v>
      </c>
      <c r="H187" s="222">
        <f>H184/1.95583</f>
        <v>218064.62218086439</v>
      </c>
      <c r="I187" s="222">
        <f>I184/1.95583</f>
        <v>43906.540957036152</v>
      </c>
      <c r="J187" s="222">
        <f>J184/1.95583</f>
        <v>218064.47390621886</v>
      </c>
      <c r="K187" s="222">
        <f>I187-G187</f>
        <v>-7.1580863383132964E-2</v>
      </c>
      <c r="L187" s="222">
        <f>J187-H187</f>
        <v>-0.14827464552945457</v>
      </c>
      <c r="M187" s="49"/>
      <c r="N187" s="49"/>
      <c r="O187" s="132"/>
      <c r="P187" s="27"/>
      <c r="Q187" s="159"/>
      <c r="R187" s="247"/>
      <c r="S187" s="10"/>
      <c r="T187" s="10"/>
    </row>
    <row r="188" spans="1:20" s="9" customFormat="1" ht="30" customHeight="1" thickBot="1" x14ac:dyDescent="0.3">
      <c r="A188" s="240"/>
      <c r="B188" s="240"/>
      <c r="C188" s="258" t="s">
        <v>118</v>
      </c>
      <c r="D188" s="259"/>
      <c r="E188" s="260"/>
      <c r="F188" s="140" t="s">
        <v>121</v>
      </c>
      <c r="G188" s="75"/>
      <c r="H188" s="75"/>
      <c r="I188" s="75"/>
      <c r="J188" s="222">
        <f>J185/1.95583</f>
        <v>86625.514487455453</v>
      </c>
      <c r="K188" s="75"/>
      <c r="L188" s="222">
        <f>J188-H188</f>
        <v>86625.514487455453</v>
      </c>
      <c r="M188" s="49"/>
      <c r="N188" s="49"/>
      <c r="O188" s="132"/>
      <c r="P188" s="27"/>
      <c r="Q188" s="159"/>
      <c r="R188" s="247"/>
      <c r="S188" s="10"/>
      <c r="T188" s="10"/>
    </row>
    <row r="189" spans="1:20" s="9" customFormat="1" ht="30" customHeight="1" thickBot="1" x14ac:dyDescent="0.3">
      <c r="A189" s="240"/>
      <c r="B189" s="240"/>
      <c r="C189" s="40" t="s">
        <v>35</v>
      </c>
      <c r="D189" s="146" t="s">
        <v>119</v>
      </c>
      <c r="E189" s="139">
        <f>SUM(E186)</f>
        <v>824.42000000000007</v>
      </c>
      <c r="F189" s="140" t="s">
        <v>121</v>
      </c>
      <c r="G189" s="222">
        <f>G186/1.95583</f>
        <v>595.71128370052611</v>
      </c>
      <c r="H189" s="222">
        <f>H186/1.95583</f>
        <v>9424.7250527908891</v>
      </c>
      <c r="I189" s="222">
        <f>I186/1.95583</f>
        <v>595.71128370052622</v>
      </c>
      <c r="J189" s="222">
        <f>J186/1.95583</f>
        <v>9424.7250527908873</v>
      </c>
      <c r="K189" s="222">
        <f>I189-G189</f>
        <v>0</v>
      </c>
      <c r="L189" s="222">
        <f>J189-H189</f>
        <v>0</v>
      </c>
      <c r="M189" s="49"/>
      <c r="N189" s="49"/>
      <c r="O189" s="132"/>
      <c r="P189" s="27"/>
      <c r="Q189" s="159"/>
      <c r="R189" s="247"/>
      <c r="S189" s="10"/>
      <c r="T189" s="10"/>
    </row>
    <row r="190" spans="1:20" s="9" customFormat="1" ht="30" customHeight="1" thickBot="1" x14ac:dyDescent="0.3">
      <c r="A190" s="240"/>
      <c r="B190" s="240"/>
      <c r="C190" s="32" t="s">
        <v>27</v>
      </c>
      <c r="D190" s="187" t="s">
        <v>124</v>
      </c>
      <c r="E190" s="139">
        <f>SUM(E187)+352.22</f>
        <v>23312.540000000005</v>
      </c>
      <c r="F190" s="189">
        <v>1.59</v>
      </c>
      <c r="G190" s="222">
        <f>G187+560.03</f>
        <v>44466.642537899534</v>
      </c>
      <c r="H190" s="222">
        <f>H187+0</f>
        <v>218064.62218086439</v>
      </c>
      <c r="I190" s="222">
        <f>I187+560.03</f>
        <v>44466.570957036151</v>
      </c>
      <c r="J190" s="222">
        <f>J187+17107.22</f>
        <v>235171.69390621886</v>
      </c>
      <c r="K190" s="222">
        <f>I190-G190</f>
        <v>-7.1580863383132964E-2</v>
      </c>
      <c r="L190" s="222">
        <f>J190-H190</f>
        <v>17107.071725354472</v>
      </c>
      <c r="M190" s="49"/>
      <c r="N190" s="49"/>
      <c r="O190" s="132"/>
      <c r="P190" s="27"/>
      <c r="Q190" s="159"/>
      <c r="R190" s="247"/>
      <c r="S190" s="10"/>
      <c r="T190" s="10"/>
    </row>
    <row r="191" spans="1:20" s="9" customFormat="1" ht="30" customHeight="1" thickBot="1" x14ac:dyDescent="0.3">
      <c r="A191" s="240"/>
      <c r="B191" s="240"/>
      <c r="C191" s="262" t="s">
        <v>118</v>
      </c>
      <c r="D191" s="263"/>
      <c r="E191" s="264"/>
      <c r="F191" s="29"/>
      <c r="G191" s="75"/>
      <c r="H191" s="75"/>
      <c r="I191" s="75"/>
      <c r="J191" s="222">
        <f>J188</f>
        <v>86625.514487455453</v>
      </c>
      <c r="K191" s="75"/>
      <c r="L191" s="222">
        <f>J191-H191</f>
        <v>86625.514487455453</v>
      </c>
      <c r="M191" s="49"/>
      <c r="N191" s="49"/>
      <c r="O191" s="132"/>
      <c r="P191" s="27"/>
      <c r="Q191" s="159"/>
      <c r="R191" s="247"/>
      <c r="S191" s="10"/>
      <c r="T191" s="10"/>
    </row>
    <row r="192" spans="1:20" s="9" customFormat="1" ht="30" customHeight="1" thickBot="1" x14ac:dyDescent="0.3">
      <c r="A192" s="240"/>
      <c r="B192" s="240"/>
      <c r="C192" s="32" t="s">
        <v>35</v>
      </c>
      <c r="D192" s="187" t="s">
        <v>124</v>
      </c>
      <c r="E192" s="139">
        <f>SUM(E189)+15.85</f>
        <v>840.2700000000001</v>
      </c>
      <c r="F192" s="189">
        <v>1.59</v>
      </c>
      <c r="G192" s="222">
        <f>G189+25.2</f>
        <v>620.91128370052616</v>
      </c>
      <c r="H192" s="222">
        <f>H189+0</f>
        <v>9424.7250527908891</v>
      </c>
      <c r="I192" s="222">
        <f>I189+25.2</f>
        <v>620.91128370052627</v>
      </c>
      <c r="J192" s="222">
        <f>J189+769.8</f>
        <v>10194.525052790887</v>
      </c>
      <c r="K192" s="222">
        <f>I192-G192</f>
        <v>0</v>
      </c>
      <c r="L192" s="222">
        <f>J192-H192</f>
        <v>769.79999999999745</v>
      </c>
      <c r="M192" s="49"/>
      <c r="N192" s="49"/>
      <c r="O192" s="132"/>
      <c r="P192" s="27"/>
      <c r="Q192" s="159"/>
      <c r="R192" s="247"/>
      <c r="S192" s="10"/>
      <c r="T192" s="10"/>
    </row>
    <row r="193" spans="1:20" s="9" customFormat="1" ht="47.25" customHeight="1" thickBot="1" x14ac:dyDescent="0.3">
      <c r="A193" s="240"/>
      <c r="B193" s="240"/>
      <c r="C193" s="32"/>
      <c r="D193" s="175" t="s">
        <v>114</v>
      </c>
      <c r="E193" s="178">
        <f>SUM(E190:E192)</f>
        <v>24152.810000000005</v>
      </c>
      <c r="F193" s="178"/>
      <c r="G193" s="224">
        <f>SUM(G190:G192)</f>
        <v>45087.553821600057</v>
      </c>
      <c r="H193" s="224">
        <f>SUM(H190:H192)</f>
        <v>227489.34723365528</v>
      </c>
      <c r="I193" s="224">
        <f>SUM(I190:I192)</f>
        <v>45087.482240736674</v>
      </c>
      <c r="J193" s="224">
        <f>SUM(J190:J192)</f>
        <v>331991.73344646522</v>
      </c>
      <c r="K193" s="224">
        <f>SUM(K190:K192)</f>
        <v>-7.1580863383132964E-2</v>
      </c>
      <c r="L193" s="224">
        <v>104502.38</v>
      </c>
      <c r="M193" s="205"/>
      <c r="N193" s="205"/>
      <c r="O193" s="195">
        <f>348670.94/1.95583</f>
        <v>178272.62083105382</v>
      </c>
      <c r="P193" s="27"/>
      <c r="Q193" s="159"/>
      <c r="R193" s="247"/>
      <c r="S193" s="10"/>
      <c r="T193" s="10"/>
    </row>
    <row r="194" spans="1:20" ht="15.75" thickBot="1" x14ac:dyDescent="0.3">
      <c r="A194" s="240"/>
      <c r="B194" s="240"/>
      <c r="C194" s="53" t="s">
        <v>26</v>
      </c>
      <c r="D194" s="165" t="s">
        <v>4</v>
      </c>
      <c r="E194" s="69">
        <v>1956.22</v>
      </c>
      <c r="F194" s="70">
        <v>4.5199999999999996</v>
      </c>
      <c r="G194" s="66">
        <v>8842.11</v>
      </c>
      <c r="H194" s="66">
        <v>5868.66</v>
      </c>
      <c r="I194" s="66">
        <v>8842.11</v>
      </c>
      <c r="J194" s="66">
        <v>5868.66</v>
      </c>
      <c r="K194" s="66">
        <f t="shared" ref="K194:K199" si="47">I194-G194</f>
        <v>0</v>
      </c>
      <c r="L194" s="66">
        <f t="shared" ref="L194:L199" si="48">J194-H194</f>
        <v>0</v>
      </c>
      <c r="M194" s="71"/>
      <c r="N194" s="49"/>
      <c r="O194" s="44"/>
      <c r="P194" s="19"/>
      <c r="Q194" s="158"/>
      <c r="R194" s="247"/>
      <c r="S194" s="1"/>
      <c r="T194" s="1"/>
    </row>
    <row r="195" spans="1:20" ht="15.75" thickBot="1" x14ac:dyDescent="0.3">
      <c r="A195" s="240"/>
      <c r="B195" s="240"/>
      <c r="C195" s="53" t="s">
        <v>26</v>
      </c>
      <c r="D195" s="165" t="s">
        <v>5</v>
      </c>
      <c r="E195" s="69">
        <f>2814.16+E194</f>
        <v>4770.38</v>
      </c>
      <c r="F195" s="73">
        <v>5.0599999999999996</v>
      </c>
      <c r="G195" s="66">
        <f>14239.65+G194</f>
        <v>23081.760000000002</v>
      </c>
      <c r="H195" s="66">
        <f>25327.44+H194</f>
        <v>31196.1</v>
      </c>
      <c r="I195" s="66">
        <f>14239.65+I194</f>
        <v>23081.760000000002</v>
      </c>
      <c r="J195" s="66">
        <f>25327.44+J194</f>
        <v>31196.1</v>
      </c>
      <c r="K195" s="66">
        <f t="shared" si="47"/>
        <v>0</v>
      </c>
      <c r="L195" s="66">
        <f t="shared" si="48"/>
        <v>0</v>
      </c>
      <c r="M195" s="71"/>
      <c r="N195" s="49"/>
      <c r="O195" s="44"/>
      <c r="P195" s="19"/>
      <c r="Q195" s="158"/>
      <c r="R195" s="247"/>
      <c r="S195" s="1"/>
      <c r="T195" s="1"/>
    </row>
    <row r="196" spans="1:20" ht="15.75" thickBot="1" x14ac:dyDescent="0.3">
      <c r="A196" s="240"/>
      <c r="B196" s="240"/>
      <c r="C196" s="53" t="s">
        <v>26</v>
      </c>
      <c r="D196" s="165" t="s">
        <v>6</v>
      </c>
      <c r="E196" s="69">
        <f>2947.46+E195</f>
        <v>7717.84</v>
      </c>
      <c r="F196" s="73">
        <v>5.74</v>
      </c>
      <c r="G196" s="66">
        <f>16918.42+G195</f>
        <v>40000.18</v>
      </c>
      <c r="H196" s="66">
        <f>44211.9+H195</f>
        <v>75408</v>
      </c>
      <c r="I196" s="66">
        <f>16918.42+I195</f>
        <v>40000.18</v>
      </c>
      <c r="J196" s="66">
        <f>44211.9+J195</f>
        <v>75408</v>
      </c>
      <c r="K196" s="66">
        <f t="shared" si="47"/>
        <v>0</v>
      </c>
      <c r="L196" s="66">
        <f t="shared" si="48"/>
        <v>0</v>
      </c>
      <c r="M196" s="71"/>
      <c r="N196" s="49"/>
      <c r="O196" s="44"/>
      <c r="P196" s="19"/>
      <c r="Q196" s="158"/>
      <c r="R196" s="247"/>
      <c r="S196" s="1"/>
      <c r="T196" s="1"/>
    </row>
    <row r="197" spans="1:20" ht="15.75" thickBot="1" x14ac:dyDescent="0.3">
      <c r="A197" s="240"/>
      <c r="B197" s="240"/>
      <c r="C197" s="53" t="s">
        <v>26</v>
      </c>
      <c r="D197" s="165" t="s">
        <v>7</v>
      </c>
      <c r="E197" s="69">
        <f>2720+E196</f>
        <v>10437.84</v>
      </c>
      <c r="F197" s="73">
        <v>6.43</v>
      </c>
      <c r="G197" s="66">
        <f>17488.83+G196</f>
        <v>57489.01</v>
      </c>
      <c r="H197" s="66">
        <f>59837.36+H196</f>
        <v>135245.35999999999</v>
      </c>
      <c r="I197" s="66">
        <f>17488.83+I196</f>
        <v>57489.01</v>
      </c>
      <c r="J197" s="66">
        <f>59837.36+J196</f>
        <v>135245.35999999999</v>
      </c>
      <c r="K197" s="66">
        <f t="shared" si="47"/>
        <v>0</v>
      </c>
      <c r="L197" s="66">
        <f t="shared" si="48"/>
        <v>0</v>
      </c>
      <c r="M197" s="66">
        <v>4237.1499999999996</v>
      </c>
      <c r="N197" s="256">
        <v>17837.169999999998</v>
      </c>
      <c r="O197" s="44"/>
      <c r="P197" s="19"/>
      <c r="Q197" s="158"/>
      <c r="R197" s="247"/>
      <c r="S197" s="1"/>
      <c r="T197" s="1"/>
    </row>
    <row r="198" spans="1:20" ht="15.75" thickBot="1" x14ac:dyDescent="0.3">
      <c r="A198" s="240"/>
      <c r="B198" s="240"/>
      <c r="C198" s="53" t="s">
        <v>26</v>
      </c>
      <c r="D198" s="165" t="s">
        <v>8</v>
      </c>
      <c r="E198" s="69">
        <f>2585.74+E197</f>
        <v>13023.58</v>
      </c>
      <c r="F198" s="73">
        <v>6.43</v>
      </c>
      <c r="G198" s="66">
        <f>16626.3+G197</f>
        <v>74115.31</v>
      </c>
      <c r="H198" s="66">
        <f>72400.72+H197</f>
        <v>207646.07999999999</v>
      </c>
      <c r="I198" s="66">
        <f>16626.3+I197</f>
        <v>74115.31</v>
      </c>
      <c r="J198" s="66">
        <f>72400.72+J197</f>
        <v>207646.07999999999</v>
      </c>
      <c r="K198" s="66">
        <f t="shared" si="47"/>
        <v>0</v>
      </c>
      <c r="L198" s="66">
        <f t="shared" si="48"/>
        <v>0</v>
      </c>
      <c r="M198" s="56">
        <f>229.6+3703.08</f>
        <v>3932.68</v>
      </c>
      <c r="N198" s="257"/>
      <c r="O198" s="44"/>
      <c r="P198" s="19"/>
      <c r="Q198" s="158"/>
      <c r="R198" s="247"/>
      <c r="S198" s="1"/>
      <c r="T198" s="1"/>
    </row>
    <row r="199" spans="1:20" ht="270.75" thickBot="1" x14ac:dyDescent="0.3">
      <c r="A199" s="240"/>
      <c r="B199" s="240"/>
      <c r="C199" s="53" t="s">
        <v>26</v>
      </c>
      <c r="D199" s="166" t="s">
        <v>67</v>
      </c>
      <c r="E199" s="69">
        <f>1809.96+E198</f>
        <v>14833.54</v>
      </c>
      <c r="F199" s="73">
        <v>6.43</v>
      </c>
      <c r="G199" s="75">
        <f>11638.04+G198</f>
        <v>85753.35</v>
      </c>
      <c r="H199" s="75">
        <f>65158.56+H198</f>
        <v>272804.64</v>
      </c>
      <c r="I199" s="75">
        <f>11638.04+I198</f>
        <v>85753.35</v>
      </c>
      <c r="J199" s="75">
        <f>65158.56+J198</f>
        <v>272804.64</v>
      </c>
      <c r="K199" s="75">
        <f t="shared" si="47"/>
        <v>0</v>
      </c>
      <c r="L199" s="75">
        <f t="shared" si="48"/>
        <v>0</v>
      </c>
      <c r="M199" s="49"/>
      <c r="N199" s="252">
        <v>13756.8</v>
      </c>
      <c r="O199" s="76" t="s">
        <v>55</v>
      </c>
      <c r="P199" s="19"/>
      <c r="Q199" s="158"/>
      <c r="R199" s="247"/>
      <c r="S199" s="1"/>
      <c r="T199" s="1"/>
    </row>
    <row r="200" spans="1:20" ht="315.75" thickBot="1" x14ac:dyDescent="0.3">
      <c r="A200" s="240"/>
      <c r="B200" s="240"/>
      <c r="C200" s="53" t="s">
        <v>26</v>
      </c>
      <c r="D200" s="110" t="s">
        <v>65</v>
      </c>
      <c r="E200" s="69">
        <f>2660.8+E199</f>
        <v>17494.34</v>
      </c>
      <c r="F200" s="77">
        <v>3.11</v>
      </c>
      <c r="G200" s="75">
        <f>8275.08+G199</f>
        <v>94028.430000000008</v>
      </c>
      <c r="H200" s="75">
        <f>106432+H199</f>
        <v>379236.64</v>
      </c>
      <c r="I200" s="75">
        <f>8275.08+I199</f>
        <v>94028.430000000008</v>
      </c>
      <c r="J200" s="75">
        <f>106432+J199</f>
        <v>379236.64</v>
      </c>
      <c r="K200" s="29">
        <f t="shared" ref="K200:L204" si="49">I200-G200</f>
        <v>0</v>
      </c>
      <c r="L200" s="75">
        <f t="shared" si="49"/>
        <v>0</v>
      </c>
      <c r="M200" s="49"/>
      <c r="N200" s="253"/>
      <c r="O200" s="76" t="s">
        <v>56</v>
      </c>
      <c r="P200" s="19"/>
      <c r="Q200" s="158"/>
      <c r="R200" s="247"/>
      <c r="S200" s="1"/>
      <c r="T200" s="1"/>
    </row>
    <row r="201" spans="1:20" ht="15.75" thickBot="1" x14ac:dyDescent="0.3">
      <c r="A201" s="240"/>
      <c r="B201" s="240"/>
      <c r="C201" s="53" t="s">
        <v>26</v>
      </c>
      <c r="D201" s="110" t="s">
        <v>39</v>
      </c>
      <c r="E201" s="69">
        <f>760.12+620.2+759.5+664.1+E200</f>
        <v>20298.260000000002</v>
      </c>
      <c r="F201" s="77">
        <v>3.11</v>
      </c>
      <c r="G201" s="75">
        <f>8720.18+G200</f>
        <v>102748.61000000002</v>
      </c>
      <c r="H201" s="75">
        <f>126176.4+H200</f>
        <v>505413.04000000004</v>
      </c>
      <c r="I201" s="75">
        <f>2363.97+1928.82+2362.04+2065.35+I200</f>
        <v>102748.61000000002</v>
      </c>
      <c r="J201" s="75">
        <f>34205.4+27909+34177.5+29884.5+J200</f>
        <v>505413.04000000004</v>
      </c>
      <c r="K201" s="29">
        <f t="shared" si="49"/>
        <v>0</v>
      </c>
      <c r="L201" s="75">
        <f t="shared" si="49"/>
        <v>0</v>
      </c>
      <c r="M201" s="49"/>
      <c r="N201" s="49"/>
      <c r="O201" s="78"/>
      <c r="P201" s="19"/>
      <c r="Q201" s="158"/>
      <c r="R201" s="247"/>
      <c r="S201" s="1"/>
      <c r="T201" s="1"/>
    </row>
    <row r="202" spans="1:20" s="9" customFormat="1" ht="36.75" customHeight="1" thickBot="1" x14ac:dyDescent="0.3">
      <c r="A202" s="240"/>
      <c r="B202" s="240"/>
      <c r="C202" s="53" t="s">
        <v>26</v>
      </c>
      <c r="D202" s="110" t="s">
        <v>66</v>
      </c>
      <c r="E202" s="69">
        <f>2565.7+E201</f>
        <v>22863.960000000003</v>
      </c>
      <c r="F202" s="77">
        <v>3.11</v>
      </c>
      <c r="G202" s="75">
        <f>7979.34+G201</f>
        <v>110727.95000000001</v>
      </c>
      <c r="H202" s="75">
        <f>146244.9+H201</f>
        <v>651657.94000000006</v>
      </c>
      <c r="I202" s="66">
        <f>7979.34+I201</f>
        <v>110727.95000000001</v>
      </c>
      <c r="J202" s="66">
        <f>146244.9+J201</f>
        <v>651657.94000000006</v>
      </c>
      <c r="K202" s="29">
        <f t="shared" si="49"/>
        <v>0</v>
      </c>
      <c r="L202" s="75">
        <f t="shared" si="49"/>
        <v>0</v>
      </c>
      <c r="M202" s="49"/>
      <c r="N202" s="49"/>
      <c r="O202" s="78"/>
      <c r="P202" s="27"/>
      <c r="Q202" s="159"/>
      <c r="R202" s="247"/>
      <c r="S202" s="10"/>
      <c r="T202" s="10"/>
    </row>
    <row r="203" spans="1:20" ht="15.75" thickBot="1" x14ac:dyDescent="0.3">
      <c r="A203" s="240"/>
      <c r="B203" s="240"/>
      <c r="C203" s="53" t="s">
        <v>26</v>
      </c>
      <c r="D203" s="110" t="s">
        <v>78</v>
      </c>
      <c r="E203" s="69">
        <f>E202+2914.42</f>
        <v>25778.380000000005</v>
      </c>
      <c r="F203" s="120">
        <v>3.11</v>
      </c>
      <c r="G203" s="75">
        <f>G202+1580.81-868.56+816.82</f>
        <v>112257.02000000002</v>
      </c>
      <c r="H203" s="75">
        <f>H202+65978.02-19270.32</f>
        <v>698365.64000000013</v>
      </c>
      <c r="I203" s="75">
        <f>I202+9063.85-7534.78</f>
        <v>112257.02000000002</v>
      </c>
      <c r="J203" s="75">
        <f>J202+220078.1-173370.4</f>
        <v>698365.64</v>
      </c>
      <c r="K203" s="29">
        <f t="shared" si="49"/>
        <v>0</v>
      </c>
      <c r="L203" s="75">
        <f t="shared" si="49"/>
        <v>0</v>
      </c>
      <c r="M203" s="49"/>
      <c r="N203" s="49"/>
      <c r="O203" s="132"/>
      <c r="P203" s="19"/>
      <c r="Q203" s="158"/>
      <c r="R203" s="247"/>
      <c r="S203" s="1"/>
      <c r="T203" s="1"/>
    </row>
    <row r="204" spans="1:20" ht="105.75" thickBot="1" x14ac:dyDescent="0.3">
      <c r="A204" s="240"/>
      <c r="B204" s="240"/>
      <c r="C204" s="53" t="s">
        <v>26</v>
      </c>
      <c r="D204" s="146" t="s">
        <v>81</v>
      </c>
      <c r="E204" s="139">
        <f>E203+3139.66</f>
        <v>28918.040000000005</v>
      </c>
      <c r="F204" s="120">
        <v>3.11</v>
      </c>
      <c r="G204" s="75">
        <f>G203+9764.35</f>
        <v>122021.37000000002</v>
      </c>
      <c r="H204" s="75">
        <f>H203+257452.12-40800+816</f>
        <v>915833.76000000013</v>
      </c>
      <c r="I204" s="75">
        <f>I203+9764.35</f>
        <v>122021.37000000002</v>
      </c>
      <c r="J204" s="75">
        <f>J203+257452.12-40800+816</f>
        <v>915833.76</v>
      </c>
      <c r="K204" s="29">
        <f t="shared" si="49"/>
        <v>0</v>
      </c>
      <c r="L204" s="75">
        <f t="shared" si="49"/>
        <v>0</v>
      </c>
      <c r="M204" s="49"/>
      <c r="N204" s="49"/>
      <c r="O204" s="150" t="s">
        <v>79</v>
      </c>
      <c r="P204" s="19"/>
      <c r="Q204" s="158"/>
      <c r="R204" s="247"/>
      <c r="S204" s="1"/>
      <c r="T204" s="1"/>
    </row>
    <row r="205" spans="1:20" ht="120.75" thickBot="1" x14ac:dyDescent="0.3">
      <c r="A205" s="240"/>
      <c r="B205" s="240"/>
      <c r="C205" s="154" t="s">
        <v>26</v>
      </c>
      <c r="D205" s="110" t="s">
        <v>98</v>
      </c>
      <c r="E205" s="139">
        <f>E204+2796.74</f>
        <v>31714.780000000006</v>
      </c>
      <c r="F205" s="120">
        <v>3.11</v>
      </c>
      <c r="G205" s="75">
        <f t="shared" ref="G205:H207" si="50">G204+0</f>
        <v>122021.37000000002</v>
      </c>
      <c r="H205" s="75">
        <f t="shared" si="50"/>
        <v>915833.76000000013</v>
      </c>
      <c r="I205" s="75">
        <f>I204+8697.86-8697.86</f>
        <v>122021.37000000002</v>
      </c>
      <c r="J205" s="75">
        <f>J204+265690.3-265690.3</f>
        <v>915833.76</v>
      </c>
      <c r="K205" s="29">
        <f t="shared" ref="K205:L207" si="51">I205-G205</f>
        <v>0</v>
      </c>
      <c r="L205" s="75">
        <f t="shared" si="51"/>
        <v>0</v>
      </c>
      <c r="M205" s="49"/>
      <c r="N205" s="148"/>
      <c r="O205" s="171" t="s">
        <v>101</v>
      </c>
      <c r="P205" s="149"/>
      <c r="Q205" s="158"/>
      <c r="R205" s="247"/>
      <c r="S205" s="1"/>
      <c r="T205" s="1"/>
    </row>
    <row r="206" spans="1:20" ht="15.75" thickBot="1" x14ac:dyDescent="0.3">
      <c r="A206" s="240"/>
      <c r="B206" s="240"/>
      <c r="C206" s="154" t="s">
        <v>26</v>
      </c>
      <c r="D206" s="110" t="s">
        <v>99</v>
      </c>
      <c r="E206" s="139">
        <f>E205+2742.04</f>
        <v>34456.820000000007</v>
      </c>
      <c r="F206" s="120">
        <v>3.11</v>
      </c>
      <c r="G206" s="75">
        <f t="shared" si="50"/>
        <v>122021.37000000002</v>
      </c>
      <c r="H206" s="75">
        <f t="shared" si="50"/>
        <v>915833.76000000013</v>
      </c>
      <c r="I206" s="75">
        <f>I205+8527.74-8527.74</f>
        <v>122021.37000000002</v>
      </c>
      <c r="J206" s="75">
        <f>J205+260493.8-260493.8</f>
        <v>915833.76</v>
      </c>
      <c r="K206" s="29">
        <f t="shared" si="51"/>
        <v>0</v>
      </c>
      <c r="L206" s="75">
        <f t="shared" si="51"/>
        <v>0</v>
      </c>
      <c r="M206" s="49"/>
      <c r="N206" s="148"/>
      <c r="O206" s="79"/>
      <c r="P206" s="149"/>
      <c r="Q206" s="158"/>
      <c r="R206" s="247"/>
      <c r="S206" s="1"/>
      <c r="T206" s="1"/>
    </row>
    <row r="207" spans="1:20" ht="15.75" thickBot="1" x14ac:dyDescent="0.3">
      <c r="A207" s="240"/>
      <c r="B207" s="240"/>
      <c r="C207" s="154" t="s">
        <v>26</v>
      </c>
      <c r="D207" s="110" t="s">
        <v>103</v>
      </c>
      <c r="E207" s="139">
        <f>E206+1910.04</f>
        <v>36366.860000000008</v>
      </c>
      <c r="F207" s="120">
        <v>3.11</v>
      </c>
      <c r="G207" s="75">
        <f t="shared" si="50"/>
        <v>122021.37000000002</v>
      </c>
      <c r="H207" s="75">
        <f t="shared" si="50"/>
        <v>915833.76000000013</v>
      </c>
      <c r="I207" s="75">
        <f>I206+5940.22-5940.22</f>
        <v>122021.37000000002</v>
      </c>
      <c r="J207" s="75">
        <f>J206+181453.51-181453.51</f>
        <v>915833.76</v>
      </c>
      <c r="K207" s="29">
        <f t="shared" ref="K207:K218" si="52">I207-G207</f>
        <v>0</v>
      </c>
      <c r="L207" s="75">
        <f t="shared" si="51"/>
        <v>0</v>
      </c>
      <c r="M207" s="49"/>
      <c r="N207" s="148"/>
      <c r="O207" s="79"/>
      <c r="P207" s="149"/>
      <c r="Q207" s="158"/>
      <c r="R207" s="247"/>
      <c r="S207" s="1"/>
      <c r="T207" s="1"/>
    </row>
    <row r="208" spans="1:20" ht="15.75" thickBot="1" x14ac:dyDescent="0.3">
      <c r="A208" s="240"/>
      <c r="B208" s="240"/>
      <c r="C208" s="154" t="s">
        <v>26</v>
      </c>
      <c r="D208" s="146" t="s">
        <v>119</v>
      </c>
      <c r="E208" s="139">
        <f>E207+1263.41</f>
        <v>37630.270000000011</v>
      </c>
      <c r="F208" s="120">
        <v>3.11</v>
      </c>
      <c r="G208" s="75">
        <f>G207+0</f>
        <v>122021.37000000002</v>
      </c>
      <c r="H208" s="75">
        <f>H207+0</f>
        <v>915833.76000000013</v>
      </c>
      <c r="I208" s="75">
        <f>I207+3929.19-3929.19</f>
        <v>122021.37000000002</v>
      </c>
      <c r="J208" s="75">
        <f>J207+120024.07-120024.07</f>
        <v>915833.76</v>
      </c>
      <c r="K208" s="29">
        <f t="shared" si="52"/>
        <v>0</v>
      </c>
      <c r="L208" s="75">
        <f t="shared" ref="L208:L218" si="53">J208-H208</f>
        <v>0</v>
      </c>
      <c r="M208" s="121"/>
      <c r="N208" s="209"/>
      <c r="O208" s="131"/>
      <c r="P208" s="149"/>
      <c r="Q208" s="158"/>
      <c r="R208" s="247"/>
      <c r="S208" s="1"/>
      <c r="T208" s="1"/>
    </row>
    <row r="209" spans="1:20" s="142" customFormat="1" ht="15.75" thickBot="1" x14ac:dyDescent="0.3">
      <c r="A209" s="240"/>
      <c r="B209" s="240"/>
      <c r="C209" s="154" t="s">
        <v>26</v>
      </c>
      <c r="D209" s="146" t="s">
        <v>119</v>
      </c>
      <c r="E209" s="139">
        <f>E208</f>
        <v>37630.270000000011</v>
      </c>
      <c r="F209" s="140" t="s">
        <v>121</v>
      </c>
      <c r="G209" s="222">
        <f>G208/1.95583</f>
        <v>62388.535813439834</v>
      </c>
      <c r="H209" s="222">
        <f>H208/1.95583</f>
        <v>468258.36601340614</v>
      </c>
      <c r="I209" s="222">
        <f>I208/1.95583</f>
        <v>62388.535813439834</v>
      </c>
      <c r="J209" s="222">
        <f>J208/1.95583</f>
        <v>468258.36601340608</v>
      </c>
      <c r="K209" s="189">
        <f>I209-G209</f>
        <v>0</v>
      </c>
      <c r="L209" s="222">
        <f>J209-H209</f>
        <v>0</v>
      </c>
      <c r="M209" s="121"/>
      <c r="N209" s="209"/>
      <c r="O209" s="131"/>
      <c r="P209" s="210"/>
      <c r="Q209" s="211"/>
      <c r="R209" s="247"/>
    </row>
    <row r="210" spans="1:20" s="142" customFormat="1" ht="15.75" thickBot="1" x14ac:dyDescent="0.3">
      <c r="A210" s="240"/>
      <c r="B210" s="240"/>
      <c r="C210" s="147" t="s">
        <v>26</v>
      </c>
      <c r="D210" s="188" t="s">
        <v>124</v>
      </c>
      <c r="E210" s="178">
        <f>E209+437.2</f>
        <v>38067.470000000008</v>
      </c>
      <c r="F210" s="200">
        <v>1.59</v>
      </c>
      <c r="G210" s="224">
        <f>G209+695.15</f>
        <v>63083.685813439835</v>
      </c>
      <c r="H210" s="224">
        <f>H209+0</f>
        <v>468258.36601340614</v>
      </c>
      <c r="I210" s="224">
        <f>I209+695.15</f>
        <v>63083.685813439835</v>
      </c>
      <c r="J210" s="224">
        <f>J209+21234.8</f>
        <v>489493.16601340607</v>
      </c>
      <c r="K210" s="200">
        <f>I210-G210</f>
        <v>0</v>
      </c>
      <c r="L210" s="224">
        <f>J210-H210</f>
        <v>21234.79999999993</v>
      </c>
      <c r="M210" s="181"/>
      <c r="N210" s="184"/>
      <c r="O210" s="231">
        <f>646049.22/1.95583</f>
        <v>330319.72103914962</v>
      </c>
      <c r="P210" s="210"/>
      <c r="Q210" s="211"/>
      <c r="R210" s="247"/>
    </row>
    <row r="211" spans="1:20" ht="15.75" thickBot="1" x14ac:dyDescent="0.3">
      <c r="A211" s="240"/>
      <c r="B211" s="240"/>
      <c r="C211" s="53" t="s">
        <v>28</v>
      </c>
      <c r="D211" s="165" t="s">
        <v>4</v>
      </c>
      <c r="E211" s="69">
        <v>908</v>
      </c>
      <c r="F211" s="70">
        <v>4.5199999999999996</v>
      </c>
      <c r="G211" s="66">
        <v>4104.16</v>
      </c>
      <c r="H211" s="66">
        <v>2724</v>
      </c>
      <c r="I211" s="66">
        <v>4104.16</v>
      </c>
      <c r="J211" s="75">
        <v>2724</v>
      </c>
      <c r="K211" s="75">
        <f t="shared" si="52"/>
        <v>0</v>
      </c>
      <c r="L211" s="75">
        <f t="shared" si="53"/>
        <v>0</v>
      </c>
      <c r="M211" s="71"/>
      <c r="N211" s="148"/>
      <c r="O211" s="172"/>
      <c r="P211" s="149"/>
      <c r="Q211" s="158"/>
      <c r="R211" s="247"/>
      <c r="S211" s="1"/>
      <c r="T211" s="1"/>
    </row>
    <row r="212" spans="1:20" ht="15.75" thickBot="1" x14ac:dyDescent="0.3">
      <c r="A212" s="240"/>
      <c r="B212" s="240"/>
      <c r="C212" s="53" t="s">
        <v>28</v>
      </c>
      <c r="D212" s="165" t="s">
        <v>5</v>
      </c>
      <c r="E212" s="69">
        <f>869.36+E211</f>
        <v>1777.3600000000001</v>
      </c>
      <c r="F212" s="73">
        <v>5.0599999999999996</v>
      </c>
      <c r="G212" s="66">
        <f>4398.96+G211</f>
        <v>8503.119999999999</v>
      </c>
      <c r="H212" s="66">
        <f>7824.24+H211</f>
        <v>10548.24</v>
      </c>
      <c r="I212" s="66">
        <f>4398.96+I211</f>
        <v>8503.119999999999</v>
      </c>
      <c r="J212" s="66">
        <f>7824.24+J211</f>
        <v>10548.24</v>
      </c>
      <c r="K212" s="66">
        <f t="shared" si="52"/>
        <v>0</v>
      </c>
      <c r="L212" s="66">
        <f t="shared" si="53"/>
        <v>0</v>
      </c>
      <c r="M212" s="71"/>
      <c r="N212" s="49"/>
      <c r="O212" s="151"/>
      <c r="P212" s="19"/>
      <c r="Q212" s="158"/>
      <c r="R212" s="247"/>
      <c r="S212" s="1"/>
      <c r="T212" s="1"/>
    </row>
    <row r="213" spans="1:20" ht="15.75" thickBot="1" x14ac:dyDescent="0.3">
      <c r="A213" s="240"/>
      <c r="B213" s="240"/>
      <c r="C213" s="53" t="s">
        <v>28</v>
      </c>
      <c r="D213" s="165" t="s">
        <v>6</v>
      </c>
      <c r="E213" s="69">
        <f>805.32+E212</f>
        <v>2582.6800000000003</v>
      </c>
      <c r="F213" s="73">
        <v>5.74</v>
      </c>
      <c r="G213" s="66">
        <f>4622.54+G212</f>
        <v>13125.66</v>
      </c>
      <c r="H213" s="66">
        <f>12079.8+H212</f>
        <v>22628.04</v>
      </c>
      <c r="I213" s="66">
        <f>4622.54+I212</f>
        <v>13125.66</v>
      </c>
      <c r="J213" s="66">
        <f>12079.8+J212</f>
        <v>22628.04</v>
      </c>
      <c r="K213" s="66">
        <f t="shared" si="52"/>
        <v>0</v>
      </c>
      <c r="L213" s="66">
        <f t="shared" si="53"/>
        <v>0</v>
      </c>
      <c r="M213" s="71"/>
      <c r="N213" s="49"/>
      <c r="O213" s="44"/>
      <c r="P213" s="19"/>
      <c r="Q213" s="158"/>
      <c r="R213" s="247"/>
      <c r="S213" s="1"/>
      <c r="T213" s="1"/>
    </row>
    <row r="214" spans="1:20" ht="15.75" thickBot="1" x14ac:dyDescent="0.3">
      <c r="A214" s="240"/>
      <c r="B214" s="240"/>
      <c r="C214" s="53" t="s">
        <v>28</v>
      </c>
      <c r="D214" s="165" t="s">
        <v>7</v>
      </c>
      <c r="E214" s="69">
        <f>751+E213</f>
        <v>3333.6800000000003</v>
      </c>
      <c r="F214" s="73">
        <v>6.43</v>
      </c>
      <c r="G214" s="66">
        <f>4828.15+G213</f>
        <v>17953.809999999998</v>
      </c>
      <c r="H214" s="66">
        <f>16519.36+H213</f>
        <v>39147.4</v>
      </c>
      <c r="I214" s="66">
        <f>4828.15+I213</f>
        <v>17953.809999999998</v>
      </c>
      <c r="J214" s="66">
        <f>16519.36+J213</f>
        <v>39147.4</v>
      </c>
      <c r="K214" s="66">
        <f t="shared" si="52"/>
        <v>0</v>
      </c>
      <c r="L214" s="66">
        <f t="shared" si="53"/>
        <v>0</v>
      </c>
      <c r="M214" s="71"/>
      <c r="N214" s="49"/>
      <c r="O214" s="44"/>
      <c r="P214" s="19"/>
      <c r="Q214" s="158"/>
      <c r="R214" s="247"/>
      <c r="S214" s="1"/>
      <c r="T214" s="1"/>
    </row>
    <row r="215" spans="1:20" ht="15.75" thickBot="1" x14ac:dyDescent="0.3">
      <c r="A215" s="240"/>
      <c r="B215" s="240"/>
      <c r="C215" s="53" t="s">
        <v>28</v>
      </c>
      <c r="D215" s="165" t="s">
        <v>8</v>
      </c>
      <c r="E215" s="69">
        <f>718.94+E214</f>
        <v>4052.6200000000003</v>
      </c>
      <c r="F215" s="73">
        <v>6.43</v>
      </c>
      <c r="G215" s="66">
        <f>4622.78+G214</f>
        <v>22576.589999999997</v>
      </c>
      <c r="H215" s="66">
        <f>20130.33+H214</f>
        <v>59277.73</v>
      </c>
      <c r="I215" s="66">
        <f>4622.78+I214</f>
        <v>22576.589999999997</v>
      </c>
      <c r="J215" s="66">
        <f>20130.32+J214</f>
        <v>59277.72</v>
      </c>
      <c r="K215" s="66">
        <f t="shared" si="52"/>
        <v>0</v>
      </c>
      <c r="L215" s="66">
        <f t="shared" si="53"/>
        <v>-1.0000000002037268E-2</v>
      </c>
      <c r="M215" s="71"/>
      <c r="N215" s="49"/>
      <c r="O215" s="44"/>
      <c r="P215" s="19"/>
      <c r="Q215" s="158"/>
      <c r="R215" s="247"/>
      <c r="S215" s="1"/>
      <c r="T215" s="1"/>
    </row>
    <row r="216" spans="1:20" ht="173.25" customHeight="1" thickBot="1" x14ac:dyDescent="0.3">
      <c r="A216" s="240"/>
      <c r="B216" s="240"/>
      <c r="C216" s="53" t="s">
        <v>28</v>
      </c>
      <c r="D216" s="165" t="s">
        <v>21</v>
      </c>
      <c r="E216" s="69">
        <f>738.17+E215</f>
        <v>4790.79</v>
      </c>
      <c r="F216" s="73">
        <v>6.43</v>
      </c>
      <c r="G216" s="66">
        <f>4746.43+G215</f>
        <v>27323.019999999997</v>
      </c>
      <c r="H216" s="66">
        <f>26574.12+H215</f>
        <v>85851.85</v>
      </c>
      <c r="I216" s="66">
        <f>4746.43+I215</f>
        <v>27323.019999999997</v>
      </c>
      <c r="J216" s="66">
        <f>26574.12+J215</f>
        <v>85851.839999999997</v>
      </c>
      <c r="K216" s="66">
        <f t="shared" si="52"/>
        <v>0</v>
      </c>
      <c r="L216" s="66">
        <f t="shared" si="53"/>
        <v>-1.0000000009313226E-2</v>
      </c>
      <c r="M216" s="71"/>
      <c r="N216" s="49"/>
      <c r="O216" s="76" t="s">
        <v>57</v>
      </c>
      <c r="P216" s="19"/>
      <c r="Q216" s="158"/>
      <c r="R216" s="247"/>
      <c r="S216" s="1"/>
      <c r="T216" s="1"/>
    </row>
    <row r="217" spans="1:20" ht="15.75" thickBot="1" x14ac:dyDescent="0.3">
      <c r="A217" s="240"/>
      <c r="B217" s="240"/>
      <c r="C217" s="53" t="s">
        <v>28</v>
      </c>
      <c r="D217" s="110" t="s">
        <v>65</v>
      </c>
      <c r="E217" s="69">
        <f>724.12+E216</f>
        <v>5514.91</v>
      </c>
      <c r="F217" s="77">
        <v>3.11</v>
      </c>
      <c r="G217" s="75">
        <f>2252.01+G216</f>
        <v>29575.03</v>
      </c>
      <c r="H217" s="75">
        <f>28964.8+H216</f>
        <v>114816.65000000001</v>
      </c>
      <c r="I217" s="75">
        <f>2252.01+I216</f>
        <v>29575.03</v>
      </c>
      <c r="J217" s="75">
        <f>28964.8+J216</f>
        <v>114816.64</v>
      </c>
      <c r="K217" s="75">
        <f t="shared" si="52"/>
        <v>0</v>
      </c>
      <c r="L217" s="75">
        <f t="shared" si="53"/>
        <v>-1.0000000009313226E-2</v>
      </c>
      <c r="M217" s="71"/>
      <c r="N217" s="49"/>
      <c r="O217" s="78"/>
      <c r="P217" s="19"/>
      <c r="Q217" s="158"/>
      <c r="R217" s="247"/>
      <c r="S217" s="1"/>
      <c r="T217" s="1"/>
    </row>
    <row r="218" spans="1:20" ht="15.75" thickBot="1" x14ac:dyDescent="0.3">
      <c r="A218" s="240"/>
      <c r="B218" s="240"/>
      <c r="C218" s="53" t="s">
        <v>28</v>
      </c>
      <c r="D218" s="110" t="s">
        <v>39</v>
      </c>
      <c r="E218" s="69">
        <f>197.54+144.44+213.62+175.24+E217</f>
        <v>6245.75</v>
      </c>
      <c r="F218" s="77">
        <v>3.11</v>
      </c>
      <c r="G218" s="75">
        <f>2272.91+G217</f>
        <v>31847.94</v>
      </c>
      <c r="H218" s="75">
        <f>32887.8+H217</f>
        <v>147704.45000000001</v>
      </c>
      <c r="I218" s="75">
        <f>614.35+448.6+664.36+545.6+I217</f>
        <v>31847.94</v>
      </c>
      <c r="J218" s="75">
        <f>8889.3+1948+4551.8+9612.9+7885.8+J217</f>
        <v>147704.44</v>
      </c>
      <c r="K218" s="75">
        <f t="shared" si="52"/>
        <v>0</v>
      </c>
      <c r="L218" s="75">
        <f t="shared" si="53"/>
        <v>-1.0000000009313226E-2</v>
      </c>
      <c r="M218" s="71"/>
      <c r="N218" s="49"/>
      <c r="O218" s="78"/>
      <c r="P218" s="19"/>
      <c r="Q218" s="158"/>
      <c r="R218" s="247"/>
      <c r="S218" s="1"/>
      <c r="T218" s="1"/>
    </row>
    <row r="219" spans="1:20" s="9" customFormat="1" ht="30.75" customHeight="1" thickBot="1" x14ac:dyDescent="0.3">
      <c r="A219" s="240"/>
      <c r="B219" s="240"/>
      <c r="C219" s="53" t="s">
        <v>28</v>
      </c>
      <c r="D219" s="110" t="s">
        <v>66</v>
      </c>
      <c r="E219" s="69">
        <f>762.88+E218</f>
        <v>7008.63</v>
      </c>
      <c r="F219" s="77">
        <v>3.11</v>
      </c>
      <c r="G219" s="75">
        <f>2372.57+G218</f>
        <v>34220.51</v>
      </c>
      <c r="H219" s="75">
        <f>43484.16+H218</f>
        <v>191188.61000000002</v>
      </c>
      <c r="I219" s="75">
        <f>2372.57+I218</f>
        <v>34220.51</v>
      </c>
      <c r="J219" s="75">
        <f>43484.16+J218</f>
        <v>191188.6</v>
      </c>
      <c r="K219" s="75">
        <f t="shared" ref="K219:L221" si="54">I219-G219</f>
        <v>0</v>
      </c>
      <c r="L219" s="75">
        <f t="shared" si="54"/>
        <v>-1.0000000009313226E-2</v>
      </c>
      <c r="M219" s="71"/>
      <c r="N219" s="49"/>
      <c r="O219" s="78"/>
      <c r="P219" s="27"/>
      <c r="Q219" s="159"/>
      <c r="R219" s="247"/>
      <c r="S219" s="10"/>
      <c r="T219" s="10"/>
    </row>
    <row r="220" spans="1:20" s="9" customFormat="1" ht="31.5" customHeight="1" thickBot="1" x14ac:dyDescent="0.3">
      <c r="A220" s="240"/>
      <c r="B220" s="240"/>
      <c r="C220" s="53" t="s">
        <v>28</v>
      </c>
      <c r="D220" s="110" t="s">
        <v>78</v>
      </c>
      <c r="E220" s="69">
        <f>E219+730.82</f>
        <v>7739.45</v>
      </c>
      <c r="F220" s="120">
        <v>3.11</v>
      </c>
      <c r="G220" s="75">
        <f>G219+2115.04-1848.27</f>
        <v>34487.280000000006</v>
      </c>
      <c r="H220" s="75">
        <f>H219+49947.76-41798.66</f>
        <v>199337.71000000002</v>
      </c>
      <c r="I220" s="75">
        <f>I219+2272.84-2006.07</f>
        <v>34487.280000000006</v>
      </c>
      <c r="J220" s="75">
        <f>J219+53448.82-45299.72</f>
        <v>199337.7</v>
      </c>
      <c r="K220" s="75">
        <f t="shared" si="54"/>
        <v>0</v>
      </c>
      <c r="L220" s="75">
        <f t="shared" si="54"/>
        <v>-1.0000000009313226E-2</v>
      </c>
      <c r="M220" s="71"/>
      <c r="N220" s="49"/>
      <c r="O220" s="132"/>
      <c r="P220" s="27"/>
      <c r="Q220" s="159"/>
      <c r="R220" s="247"/>
      <c r="S220" s="10"/>
      <c r="T220" s="10"/>
    </row>
    <row r="221" spans="1:20" s="9" customFormat="1" ht="31.5" customHeight="1" thickBot="1" x14ac:dyDescent="0.3">
      <c r="A221" s="240"/>
      <c r="B221" s="240"/>
      <c r="C221" s="53" t="s">
        <v>28</v>
      </c>
      <c r="D221" s="146" t="s">
        <v>81</v>
      </c>
      <c r="E221" s="139">
        <f>E220+633.8</f>
        <v>8373.25</v>
      </c>
      <c r="F221" s="120">
        <v>3.11</v>
      </c>
      <c r="G221" s="75">
        <f>G220+1971.12</f>
        <v>36458.400000000009</v>
      </c>
      <c r="H221" s="75">
        <f>H220+51971.6-8400+168</f>
        <v>243077.31000000003</v>
      </c>
      <c r="I221" s="75">
        <f>I220+1971.12</f>
        <v>36458.400000000009</v>
      </c>
      <c r="J221" s="75">
        <f>J220+51971.6-8400+168</f>
        <v>243077.30000000002</v>
      </c>
      <c r="K221" s="75">
        <f t="shared" si="54"/>
        <v>0</v>
      </c>
      <c r="L221" s="75">
        <f t="shared" si="54"/>
        <v>-1.0000000009313226E-2</v>
      </c>
      <c r="M221" s="71"/>
      <c r="N221" s="49"/>
      <c r="O221" s="132"/>
      <c r="P221" s="27"/>
      <c r="Q221" s="159"/>
      <c r="R221" s="247"/>
      <c r="S221" s="10"/>
      <c r="T221" s="10"/>
    </row>
    <row r="222" spans="1:20" s="9" customFormat="1" ht="32.25" customHeight="1" thickBot="1" x14ac:dyDescent="0.3">
      <c r="A222" s="240"/>
      <c r="B222" s="240"/>
      <c r="C222" s="53" t="s">
        <v>28</v>
      </c>
      <c r="D222" s="110" t="s">
        <v>98</v>
      </c>
      <c r="E222" s="139">
        <f>E221+576.98</f>
        <v>8950.23</v>
      </c>
      <c r="F222" s="120">
        <v>3.11</v>
      </c>
      <c r="G222" s="75">
        <f>G221+1794.4-788-1006.33</f>
        <v>36458.470000000008</v>
      </c>
      <c r="H222" s="75">
        <f>H221+54813.1-24073-30740.1</f>
        <v>243077.31000000003</v>
      </c>
      <c r="I222" s="75">
        <f>I221+1794.4-788-1006.33</f>
        <v>36458.470000000008</v>
      </c>
      <c r="J222" s="75">
        <f>J221+54813.1-24073-30740.1</f>
        <v>243077.30000000002</v>
      </c>
      <c r="K222" s="75">
        <f t="shared" ref="K222:L224" si="55">I222-G222</f>
        <v>0</v>
      </c>
      <c r="L222" s="75">
        <f t="shared" si="55"/>
        <v>-1.0000000009313226E-2</v>
      </c>
      <c r="M222" s="71"/>
      <c r="N222" s="49"/>
      <c r="O222" s="132"/>
      <c r="P222" s="27"/>
      <c r="Q222" s="159"/>
      <c r="R222" s="247"/>
      <c r="S222" s="10"/>
      <c r="T222" s="10"/>
    </row>
    <row r="223" spans="1:20" s="9" customFormat="1" ht="33" customHeight="1" thickBot="1" x14ac:dyDescent="0.3">
      <c r="A223" s="240"/>
      <c r="B223" s="240"/>
      <c r="C223" s="53" t="s">
        <v>28</v>
      </c>
      <c r="D223" s="110" t="s">
        <v>99</v>
      </c>
      <c r="E223" s="139">
        <f>E222+573.08</f>
        <v>9523.31</v>
      </c>
      <c r="F223" s="120">
        <v>3.11</v>
      </c>
      <c r="G223" s="75">
        <f>G222+1782.28-805.3-976.98</f>
        <v>36458.47</v>
      </c>
      <c r="H223" s="75">
        <f>H222+54442.6-24599.3-29843.3</f>
        <v>243077.31000000006</v>
      </c>
      <c r="I223" s="75">
        <f>I222+1782.28-805.3-976.98</f>
        <v>36458.47</v>
      </c>
      <c r="J223" s="75">
        <f>J222+54442.6-24599.3-29843.3</f>
        <v>243077.30000000005</v>
      </c>
      <c r="K223" s="75">
        <f t="shared" si="55"/>
        <v>0</v>
      </c>
      <c r="L223" s="75">
        <f t="shared" si="55"/>
        <v>-1.0000000009313226E-2</v>
      </c>
      <c r="M223" s="71"/>
      <c r="N223" s="49"/>
      <c r="O223" s="132"/>
      <c r="P223" s="27"/>
      <c r="Q223" s="159"/>
      <c r="R223" s="247"/>
      <c r="S223" s="10"/>
      <c r="T223" s="10"/>
    </row>
    <row r="224" spans="1:20" s="9" customFormat="1" ht="27" customHeight="1" thickBot="1" x14ac:dyDescent="0.3">
      <c r="A224" s="240"/>
      <c r="B224" s="240"/>
      <c r="C224" s="53" t="s">
        <v>28</v>
      </c>
      <c r="D224" s="110" t="s">
        <v>103</v>
      </c>
      <c r="E224" s="139">
        <f>E223+371.16</f>
        <v>9894.4699999999993</v>
      </c>
      <c r="F224" s="120">
        <v>3.11</v>
      </c>
      <c r="G224" s="75">
        <f>G223+702.12-702.12</f>
        <v>36458.47</v>
      </c>
      <c r="H224" s="75">
        <f>H223+21447.1-21447.1</f>
        <v>243077.31000000003</v>
      </c>
      <c r="I224" s="75">
        <f>I223+1154.3-702.12-452.18</f>
        <v>36458.47</v>
      </c>
      <c r="J224" s="75">
        <f>J223+35260.01-21447.1-13812.91</f>
        <v>243077.30000000005</v>
      </c>
      <c r="K224" s="75">
        <f t="shared" si="55"/>
        <v>0</v>
      </c>
      <c r="L224" s="75">
        <f t="shared" si="55"/>
        <v>-9.9999999802093953E-3</v>
      </c>
      <c r="M224" s="71"/>
      <c r="N224" s="49"/>
      <c r="O224" s="132"/>
      <c r="P224" s="27"/>
      <c r="Q224" s="159"/>
      <c r="R224" s="247"/>
      <c r="S224" s="10"/>
      <c r="T224" s="10"/>
    </row>
    <row r="225" spans="1:20" s="9" customFormat="1" ht="33" customHeight="1" thickBot="1" x14ac:dyDescent="0.3">
      <c r="A225" s="240"/>
      <c r="B225" s="240"/>
      <c r="C225" s="147" t="s">
        <v>28</v>
      </c>
      <c r="D225" s="187" t="s">
        <v>119</v>
      </c>
      <c r="E225" s="212">
        <f>E224+280.55</f>
        <v>10175.019999999999</v>
      </c>
      <c r="F225" s="120">
        <v>3.11</v>
      </c>
      <c r="G225" s="75">
        <f>G224+0</f>
        <v>36458.47</v>
      </c>
      <c r="H225" s="75">
        <f>H224+0</f>
        <v>243077.31000000003</v>
      </c>
      <c r="I225" s="75">
        <f>I224+872.52-872.52</f>
        <v>36458.47</v>
      </c>
      <c r="J225" s="75">
        <f>J224+26652.27-26652.27</f>
        <v>243077.30000000008</v>
      </c>
      <c r="K225" s="75">
        <f t="shared" ref="K225:L227" si="56">I225-G225</f>
        <v>0</v>
      </c>
      <c r="L225" s="75">
        <f t="shared" si="56"/>
        <v>-9.9999999511055648E-3</v>
      </c>
      <c r="M225" s="213"/>
      <c r="N225" s="121"/>
      <c r="O225" s="214"/>
      <c r="P225" s="27"/>
      <c r="Q225" s="159"/>
      <c r="R225" s="247"/>
      <c r="S225" s="10"/>
      <c r="T225" s="10"/>
    </row>
    <row r="226" spans="1:20" s="217" customFormat="1" ht="20.25" customHeight="1" thickBot="1" x14ac:dyDescent="0.3">
      <c r="A226" s="240"/>
      <c r="B226" s="240"/>
      <c r="C226" s="147" t="s">
        <v>28</v>
      </c>
      <c r="D226" s="187" t="s">
        <v>119</v>
      </c>
      <c r="E226" s="212">
        <f>E225</f>
        <v>10175.019999999999</v>
      </c>
      <c r="F226" s="140" t="s">
        <v>121</v>
      </c>
      <c r="G226" s="222">
        <f>G225/1.95583</f>
        <v>18640.919711835897</v>
      </c>
      <c r="H226" s="222">
        <f>H225/1.95583</f>
        <v>124283.45510601639</v>
      </c>
      <c r="I226" s="222">
        <f>I225/1.95583</f>
        <v>18640.919711835897</v>
      </c>
      <c r="J226" s="222">
        <f>J225/1.95583</f>
        <v>124283.4499930976</v>
      </c>
      <c r="K226" s="222">
        <f t="shared" si="56"/>
        <v>0</v>
      </c>
      <c r="L226" s="222">
        <f t="shared" si="56"/>
        <v>-5.1129187922924757E-3</v>
      </c>
      <c r="M226" s="213"/>
      <c r="N226" s="121"/>
      <c r="O226" s="214"/>
      <c r="P226" s="215"/>
      <c r="Q226" s="216"/>
      <c r="R226" s="247"/>
    </row>
    <row r="227" spans="1:20" s="217" customFormat="1" ht="17.25" customHeight="1" thickBot="1" x14ac:dyDescent="0.3">
      <c r="A227" s="240"/>
      <c r="B227" s="240"/>
      <c r="C227" s="147" t="s">
        <v>28</v>
      </c>
      <c r="D227" s="188" t="s">
        <v>124</v>
      </c>
      <c r="E227" s="236">
        <f>E226+109.42</f>
        <v>10284.439999999999</v>
      </c>
      <c r="F227" s="224">
        <v>1.59</v>
      </c>
      <c r="G227" s="224">
        <f>G226+173.98</f>
        <v>18814.899711835897</v>
      </c>
      <c r="H227" s="224">
        <f>H226+0</f>
        <v>124283.45510601639</v>
      </c>
      <c r="I227" s="224">
        <f>I226+173.98</f>
        <v>18814.899711835897</v>
      </c>
      <c r="J227" s="224">
        <f>J226+5314.58</f>
        <v>129598.0299930976</v>
      </c>
      <c r="K227" s="224">
        <f t="shared" si="56"/>
        <v>0</v>
      </c>
      <c r="L227" s="224">
        <f t="shared" si="56"/>
        <v>5314.5748870812095</v>
      </c>
      <c r="M227" s="185"/>
      <c r="N227" s="181"/>
      <c r="O227" s="195">
        <f>180516.35/1.95583</f>
        <v>92296.544178174998</v>
      </c>
      <c r="P227" s="215"/>
      <c r="Q227" s="216"/>
      <c r="R227" s="247"/>
    </row>
    <row r="228" spans="1:20" ht="15.75" thickBot="1" x14ac:dyDescent="0.3">
      <c r="A228" s="240"/>
      <c r="B228" s="240"/>
      <c r="C228" s="53" t="s">
        <v>29</v>
      </c>
      <c r="D228" s="165" t="s">
        <v>4</v>
      </c>
      <c r="E228" s="69">
        <v>2036</v>
      </c>
      <c r="F228" s="70">
        <v>4.5199999999999996</v>
      </c>
      <c r="G228" s="66">
        <v>9202.7199999999993</v>
      </c>
      <c r="H228" s="66">
        <v>6108</v>
      </c>
      <c r="I228" s="66">
        <v>9202.7199999999993</v>
      </c>
      <c r="J228" s="66">
        <v>6108</v>
      </c>
      <c r="K228" s="66">
        <f t="shared" ref="K228:K235" si="57">I228-G228</f>
        <v>0</v>
      </c>
      <c r="L228" s="66">
        <f t="shared" ref="L228:L234" si="58">J228-H228</f>
        <v>0</v>
      </c>
      <c r="M228" s="71"/>
      <c r="N228" s="49"/>
      <c r="O228" s="44"/>
      <c r="P228" s="19"/>
      <c r="Q228" s="158"/>
      <c r="R228" s="247"/>
      <c r="S228" s="1"/>
      <c r="T228" s="1"/>
    </row>
    <row r="229" spans="1:20" ht="15.75" thickBot="1" x14ac:dyDescent="0.3">
      <c r="A229" s="240"/>
      <c r="B229" s="240"/>
      <c r="C229" s="53" t="s">
        <v>29</v>
      </c>
      <c r="D229" s="165" t="s">
        <v>5</v>
      </c>
      <c r="E229" s="69">
        <f>1618.48+E228</f>
        <v>3654.48</v>
      </c>
      <c r="F229" s="73">
        <v>5.0599999999999996</v>
      </c>
      <c r="G229" s="66">
        <f>8189.51+G228</f>
        <v>17392.23</v>
      </c>
      <c r="H229" s="66">
        <f>14566.32+H228</f>
        <v>20674.32</v>
      </c>
      <c r="I229" s="66">
        <f>8189.51+I228</f>
        <v>17392.23</v>
      </c>
      <c r="J229" s="66">
        <f>14566.32+J228</f>
        <v>20674.32</v>
      </c>
      <c r="K229" s="66">
        <f t="shared" si="57"/>
        <v>0</v>
      </c>
      <c r="L229" s="66">
        <f t="shared" si="58"/>
        <v>0</v>
      </c>
      <c r="M229" s="71"/>
      <c r="N229" s="49"/>
      <c r="O229" s="44"/>
      <c r="P229" s="19"/>
      <c r="Q229" s="158"/>
      <c r="R229" s="247"/>
      <c r="S229" s="1"/>
      <c r="T229" s="1"/>
    </row>
    <row r="230" spans="1:20" ht="15.75" thickBot="1" x14ac:dyDescent="0.3">
      <c r="A230" s="240"/>
      <c r="B230" s="240"/>
      <c r="C230" s="53" t="s">
        <v>29</v>
      </c>
      <c r="D230" s="165" t="s">
        <v>6</v>
      </c>
      <c r="E230" s="69">
        <f>1731.16+E229</f>
        <v>5385.64</v>
      </c>
      <c r="F230" s="73">
        <v>5.74</v>
      </c>
      <c r="G230" s="66">
        <f>9936.86+G229</f>
        <v>27329.09</v>
      </c>
      <c r="H230" s="66">
        <f>25967.4+H229</f>
        <v>46641.72</v>
      </c>
      <c r="I230" s="66">
        <f>9936.86+I229</f>
        <v>27329.09</v>
      </c>
      <c r="J230" s="66">
        <f>25967.4+J229</f>
        <v>46641.72</v>
      </c>
      <c r="K230" s="66">
        <f t="shared" si="57"/>
        <v>0</v>
      </c>
      <c r="L230" s="66">
        <f t="shared" si="58"/>
        <v>0</v>
      </c>
      <c r="M230" s="71"/>
      <c r="N230" s="49"/>
      <c r="O230" s="44"/>
      <c r="P230" s="19"/>
      <c r="Q230" s="158"/>
      <c r="R230" s="247"/>
      <c r="S230" s="1"/>
      <c r="T230" s="1"/>
    </row>
    <row r="231" spans="1:20" ht="13.5" customHeight="1" thickBot="1" x14ac:dyDescent="0.3">
      <c r="A231" s="240"/>
      <c r="B231" s="240"/>
      <c r="C231" s="53" t="s">
        <v>29</v>
      </c>
      <c r="D231" s="165" t="s">
        <v>7</v>
      </c>
      <c r="E231" s="69">
        <f>1709+E230</f>
        <v>7094.64</v>
      </c>
      <c r="F231" s="73">
        <v>6.43</v>
      </c>
      <c r="G231" s="66">
        <f>10988.37+G230</f>
        <v>38317.46</v>
      </c>
      <c r="H231" s="66">
        <f>37596.24+H230</f>
        <v>84237.959999999992</v>
      </c>
      <c r="I231" s="66">
        <f>10988.37+I230</f>
        <v>38317.46</v>
      </c>
      <c r="J231" s="66">
        <f>37596.24+J230</f>
        <v>84237.959999999992</v>
      </c>
      <c r="K231" s="66">
        <f t="shared" si="57"/>
        <v>0</v>
      </c>
      <c r="L231" s="66">
        <f t="shared" si="58"/>
        <v>0</v>
      </c>
      <c r="M231" s="49"/>
      <c r="N231" s="49"/>
      <c r="O231" s="44"/>
      <c r="P231" s="19"/>
      <c r="Q231" s="158"/>
      <c r="R231" s="247"/>
      <c r="S231" s="1"/>
      <c r="T231" s="1"/>
    </row>
    <row r="232" spans="1:20" ht="15.75" thickBot="1" x14ac:dyDescent="0.3">
      <c r="A232" s="240"/>
      <c r="B232" s="240"/>
      <c r="C232" s="53" t="s">
        <v>29</v>
      </c>
      <c r="D232" s="165" t="s">
        <v>8</v>
      </c>
      <c r="E232" s="69">
        <f>1777.12+E231</f>
        <v>8871.76</v>
      </c>
      <c r="F232" s="73">
        <v>6.43</v>
      </c>
      <c r="G232" s="75">
        <f>11426.88+G231</f>
        <v>49744.34</v>
      </c>
      <c r="H232" s="75">
        <f>49759.36+H231</f>
        <v>133997.32</v>
      </c>
      <c r="I232" s="75">
        <f>11426.88+I231</f>
        <v>49744.34</v>
      </c>
      <c r="J232" s="75">
        <f>49759.36+J231</f>
        <v>133997.32</v>
      </c>
      <c r="K232" s="75">
        <f t="shared" si="57"/>
        <v>0</v>
      </c>
      <c r="L232" s="75">
        <f t="shared" si="58"/>
        <v>0</v>
      </c>
      <c r="M232" s="49"/>
      <c r="N232" s="49"/>
      <c r="O232" s="44"/>
      <c r="P232" s="19"/>
      <c r="Q232" s="158"/>
      <c r="R232" s="247"/>
      <c r="S232" s="1"/>
      <c r="T232" s="1"/>
    </row>
    <row r="233" spans="1:20" ht="128.25" customHeight="1" thickBot="1" x14ac:dyDescent="0.3">
      <c r="A233" s="240"/>
      <c r="B233" s="240"/>
      <c r="C233" s="53" t="s">
        <v>29</v>
      </c>
      <c r="D233" s="165" t="s">
        <v>21</v>
      </c>
      <c r="E233" s="69">
        <f>2241.38+E231</f>
        <v>9336.02</v>
      </c>
      <c r="F233" s="73">
        <v>6.43</v>
      </c>
      <c r="G233" s="75">
        <f>14412.08+G232</f>
        <v>64156.42</v>
      </c>
      <c r="H233" s="75">
        <f>80689.68+H232</f>
        <v>214687</v>
      </c>
      <c r="I233" s="75">
        <f>14412.08+I232</f>
        <v>64156.42</v>
      </c>
      <c r="J233" s="75">
        <f>80689.68+J232</f>
        <v>214687</v>
      </c>
      <c r="K233" s="75">
        <f t="shared" si="57"/>
        <v>0</v>
      </c>
      <c r="L233" s="75">
        <f t="shared" si="58"/>
        <v>0</v>
      </c>
      <c r="M233" s="49"/>
      <c r="N233" s="49"/>
      <c r="O233" s="76" t="s">
        <v>58</v>
      </c>
      <c r="P233" s="19"/>
      <c r="Q233" s="158"/>
      <c r="R233" s="247"/>
      <c r="S233" s="1"/>
      <c r="T233" s="1"/>
    </row>
    <row r="234" spans="1:20" ht="78" customHeight="1" thickBot="1" x14ac:dyDescent="0.3">
      <c r="A234" s="240"/>
      <c r="B234" s="240"/>
      <c r="C234" s="53" t="s">
        <v>29</v>
      </c>
      <c r="D234" s="110" t="s">
        <v>65</v>
      </c>
      <c r="E234" s="69">
        <f>2237.68+E233</f>
        <v>11573.7</v>
      </c>
      <c r="F234" s="77">
        <v>3.11</v>
      </c>
      <c r="G234" s="75">
        <f>6959.18+G233</f>
        <v>71115.600000000006</v>
      </c>
      <c r="H234" s="75">
        <f>89507.2+H233</f>
        <v>304194.2</v>
      </c>
      <c r="I234" s="75">
        <f>6959.18+I233</f>
        <v>71115.600000000006</v>
      </c>
      <c r="J234" s="75">
        <f>89507.2+J233</f>
        <v>304194.2</v>
      </c>
      <c r="K234" s="75">
        <f t="shared" si="57"/>
        <v>0</v>
      </c>
      <c r="L234" s="75">
        <f t="shared" si="58"/>
        <v>0</v>
      </c>
      <c r="M234" s="49"/>
      <c r="N234" s="49"/>
      <c r="O234" s="76" t="s">
        <v>59</v>
      </c>
      <c r="P234" s="19"/>
      <c r="Q234" s="158"/>
      <c r="R234" s="247"/>
      <c r="S234" s="1"/>
      <c r="T234" s="1"/>
    </row>
    <row r="235" spans="1:20" ht="75.75" thickBot="1" x14ac:dyDescent="0.3">
      <c r="A235" s="240"/>
      <c r="B235" s="240"/>
      <c r="C235" s="53" t="s">
        <v>29</v>
      </c>
      <c r="D235" s="110" t="s">
        <v>39</v>
      </c>
      <c r="E235" s="69">
        <f>655.98+873.13+667.04+188.92+E234</f>
        <v>13958.77</v>
      </c>
      <c r="F235" s="77">
        <v>3.11</v>
      </c>
      <c r="G235" s="75">
        <f>7417.56+G234</f>
        <v>78533.16</v>
      </c>
      <c r="H235" s="75">
        <f>107328.15+H234-53664.07</f>
        <v>357858.27999999997</v>
      </c>
      <c r="I235" s="75">
        <f>7417.56+I234</f>
        <v>78533.16</v>
      </c>
      <c r="J235" s="75">
        <f>(29519.1+22287.6+30016.8+25504.65)/2+J234</f>
        <v>357858.27500000002</v>
      </c>
      <c r="K235" s="75">
        <f t="shared" si="57"/>
        <v>0</v>
      </c>
      <c r="L235" s="75">
        <f t="shared" ref="L235:L240" si="59">J235-H235</f>
        <v>-4.999999946448952E-3</v>
      </c>
      <c r="M235" s="49"/>
      <c r="N235" s="49"/>
      <c r="O235" s="131" t="s">
        <v>70</v>
      </c>
      <c r="P235" s="19"/>
      <c r="Q235" s="158"/>
      <c r="R235" s="247"/>
      <c r="S235" s="1"/>
      <c r="T235" s="1"/>
    </row>
    <row r="236" spans="1:20" s="9" customFormat="1" ht="81" customHeight="1" thickBot="1" x14ac:dyDescent="0.3">
      <c r="A236" s="240"/>
      <c r="B236" s="240"/>
      <c r="C236" s="53" t="s">
        <v>29</v>
      </c>
      <c r="D236" s="110" t="s">
        <v>66</v>
      </c>
      <c r="E236" s="69">
        <f>2563.14+E235</f>
        <v>16521.91</v>
      </c>
      <c r="F236" s="77">
        <v>3.11</v>
      </c>
      <c r="G236" s="75">
        <f>7971.36+G235</f>
        <v>86504.52</v>
      </c>
      <c r="H236" s="75">
        <f>146098.98+H235-73049.49</f>
        <v>430907.77</v>
      </c>
      <c r="I236" s="75">
        <f>7971.36+I235</f>
        <v>86504.52</v>
      </c>
      <c r="J236" s="75">
        <f>(146098.98/2)+J235</f>
        <v>430907.76500000001</v>
      </c>
      <c r="K236" s="75">
        <f t="shared" ref="K236:K242" si="60">I236-G236</f>
        <v>0</v>
      </c>
      <c r="L236" s="75">
        <f t="shared" si="59"/>
        <v>-5.0000000046566129E-3</v>
      </c>
      <c r="M236" s="49"/>
      <c r="N236" s="49"/>
      <c r="O236" s="131" t="s">
        <v>90</v>
      </c>
      <c r="P236" s="27"/>
      <c r="Q236" s="159"/>
      <c r="R236" s="247"/>
      <c r="S236" s="10"/>
      <c r="T236" s="10"/>
    </row>
    <row r="237" spans="1:20" s="9" customFormat="1" ht="77.25" customHeight="1" thickBot="1" x14ac:dyDescent="0.3">
      <c r="A237" s="240"/>
      <c r="B237" s="240"/>
      <c r="C237" s="53" t="s">
        <v>29</v>
      </c>
      <c r="D237" s="110" t="s">
        <v>78</v>
      </c>
      <c r="E237" s="69">
        <f>E236+2848.44</f>
        <v>19370.349999999999</v>
      </c>
      <c r="F237" s="120">
        <v>3.11</v>
      </c>
      <c r="G237" s="75">
        <f>G236+6504.38-5262.62</f>
        <v>87746.280000000013</v>
      </c>
      <c r="H237" s="66">
        <f>H236+158119.52-120187.92-18965.8</f>
        <v>449873.57000000007</v>
      </c>
      <c r="I237" s="75">
        <f>I236+8858.65-7616.89</f>
        <v>87746.28</v>
      </c>
      <c r="J237" s="75">
        <f>J236+210352.52-172420.92-18965.8</f>
        <v>449873.565</v>
      </c>
      <c r="K237" s="75">
        <f t="shared" si="60"/>
        <v>0</v>
      </c>
      <c r="L237" s="75">
        <f t="shared" si="59"/>
        <v>-5.0000000628642738E-3</v>
      </c>
      <c r="M237" s="49"/>
      <c r="N237" s="49"/>
      <c r="O237" s="131" t="s">
        <v>92</v>
      </c>
      <c r="P237" s="27"/>
      <c r="Q237" s="159"/>
      <c r="R237" s="247"/>
      <c r="S237" s="10"/>
      <c r="T237" s="10"/>
    </row>
    <row r="238" spans="1:20" s="9" customFormat="1" ht="35.25" customHeight="1" thickBot="1" x14ac:dyDescent="0.3">
      <c r="A238" s="240"/>
      <c r="B238" s="240"/>
      <c r="C238" s="53" t="s">
        <v>29</v>
      </c>
      <c r="D238" s="146" t="s">
        <v>81</v>
      </c>
      <c r="E238" s="139">
        <f>E237+2967.8</f>
        <v>22338.149999999998</v>
      </c>
      <c r="F238" s="120">
        <v>3.11</v>
      </c>
      <c r="G238" s="75">
        <f>G237+9229.86-8506.97</f>
        <v>88469.170000000013</v>
      </c>
      <c r="H238" s="75">
        <f>H237+243359.6-92349.03-39600+792</f>
        <v>562076.14</v>
      </c>
      <c r="I238" s="75">
        <f>I237+9229.86-8506.97</f>
        <v>88469.17</v>
      </c>
      <c r="J238" s="75">
        <f>J237+243359.6-92349.03-39600+792</f>
        <v>562076.13500000001</v>
      </c>
      <c r="K238" s="75">
        <f t="shared" si="60"/>
        <v>0</v>
      </c>
      <c r="L238" s="75">
        <f t="shared" si="59"/>
        <v>-5.0000000046566129E-3</v>
      </c>
      <c r="M238" s="49"/>
      <c r="N238" s="49"/>
      <c r="O238" s="131"/>
      <c r="P238" s="27"/>
      <c r="Q238" s="159"/>
      <c r="R238" s="247"/>
      <c r="S238" s="10"/>
      <c r="T238" s="10"/>
    </row>
    <row r="239" spans="1:20" s="9" customFormat="1" ht="29.25" customHeight="1" thickBot="1" x14ac:dyDescent="0.3">
      <c r="A239" s="240"/>
      <c r="B239" s="240"/>
      <c r="C239" s="53" t="s">
        <v>29</v>
      </c>
      <c r="D239" s="110" t="s">
        <v>98</v>
      </c>
      <c r="E239" s="139">
        <f>E238+2980.77</f>
        <v>25318.92</v>
      </c>
      <c r="F239" s="120">
        <v>3.11</v>
      </c>
      <c r="G239" s="75">
        <f>G238+7732.94-7732.94</f>
        <v>88469.170000000013</v>
      </c>
      <c r="H239" s="75">
        <f>H238+236214.65-236214.65</f>
        <v>562076.14</v>
      </c>
      <c r="I239" s="75">
        <f>I238+9270.19-9270.19</f>
        <v>88469.17</v>
      </c>
      <c r="J239" s="75">
        <f>J238+283173.15-283173.15</f>
        <v>562076.13500000001</v>
      </c>
      <c r="K239" s="75">
        <f t="shared" si="60"/>
        <v>0</v>
      </c>
      <c r="L239" s="75">
        <f t="shared" si="59"/>
        <v>-5.0000000046566129E-3</v>
      </c>
      <c r="M239" s="49"/>
      <c r="N239" s="49"/>
      <c r="O239" s="131"/>
      <c r="P239" s="27"/>
      <c r="Q239" s="159"/>
      <c r="R239" s="247"/>
      <c r="S239" s="10"/>
      <c r="T239" s="10"/>
    </row>
    <row r="240" spans="1:20" s="9" customFormat="1" ht="30" customHeight="1" thickBot="1" x14ac:dyDescent="0.3">
      <c r="A240" s="240"/>
      <c r="B240" s="240"/>
      <c r="C240" s="53" t="s">
        <v>29</v>
      </c>
      <c r="D240" s="110" t="s">
        <v>99</v>
      </c>
      <c r="E240" s="139">
        <f>E239+3046.02</f>
        <v>28364.94</v>
      </c>
      <c r="F240" s="120">
        <v>3.11</v>
      </c>
      <c r="G240" s="75">
        <f t="shared" ref="G240:H242" si="61">G239+0</f>
        <v>88469.170000000013</v>
      </c>
      <c r="H240" s="75">
        <f t="shared" si="61"/>
        <v>562076.14</v>
      </c>
      <c r="I240" s="75">
        <f>I239+9473.12-9473.12</f>
        <v>88469.17</v>
      </c>
      <c r="J240" s="75">
        <f>J239+289371.9-289371.9</f>
        <v>562076.13500000001</v>
      </c>
      <c r="K240" s="75">
        <f t="shared" si="60"/>
        <v>0</v>
      </c>
      <c r="L240" s="75">
        <f t="shared" si="59"/>
        <v>-5.0000000046566129E-3</v>
      </c>
      <c r="M240" s="49"/>
      <c r="N240" s="49"/>
      <c r="O240" s="131"/>
      <c r="P240" s="27"/>
      <c r="Q240" s="159"/>
      <c r="R240" s="247"/>
      <c r="S240" s="10"/>
      <c r="T240" s="10"/>
    </row>
    <row r="241" spans="1:21" s="9" customFormat="1" ht="29.25" customHeight="1" thickBot="1" x14ac:dyDescent="0.3">
      <c r="A241" s="240"/>
      <c r="B241" s="240"/>
      <c r="C241" s="53" t="s">
        <v>29</v>
      </c>
      <c r="D241" s="110" t="s">
        <v>103</v>
      </c>
      <c r="E241" s="139">
        <f>E240+1931.2</f>
        <v>30296.14</v>
      </c>
      <c r="F241" s="120">
        <v>3.11</v>
      </c>
      <c r="G241" s="75">
        <f t="shared" si="61"/>
        <v>88469.170000000013</v>
      </c>
      <c r="H241" s="75">
        <f t="shared" si="61"/>
        <v>562076.14</v>
      </c>
      <c r="I241" s="75">
        <f>I240+6006.03-6006.03</f>
        <v>88469.17</v>
      </c>
      <c r="J241" s="75">
        <f>J240+183463.81-183463.81</f>
        <v>562076.13500000001</v>
      </c>
      <c r="K241" s="75">
        <f t="shared" si="60"/>
        <v>0</v>
      </c>
      <c r="L241" s="75">
        <f>J241-H241</f>
        <v>-5.0000000046566129E-3</v>
      </c>
      <c r="M241" s="49"/>
      <c r="N241" s="49"/>
      <c r="O241" s="131"/>
      <c r="P241" s="27"/>
      <c r="Q241" s="159"/>
      <c r="R241" s="247"/>
      <c r="S241" s="10"/>
      <c r="T241" s="10"/>
    </row>
    <row r="242" spans="1:21" s="9" customFormat="1" ht="28.5" customHeight="1" thickBot="1" x14ac:dyDescent="0.3">
      <c r="A242" s="240"/>
      <c r="B242" s="240"/>
      <c r="C242" s="147" t="s">
        <v>29</v>
      </c>
      <c r="D242" s="187" t="s">
        <v>119</v>
      </c>
      <c r="E242" s="139">
        <f>E241+1281.22</f>
        <v>31577.360000000001</v>
      </c>
      <c r="F242" s="120">
        <v>3.11</v>
      </c>
      <c r="G242" s="75">
        <f t="shared" si="61"/>
        <v>88469.170000000013</v>
      </c>
      <c r="H242" s="75">
        <f t="shared" si="61"/>
        <v>562076.14</v>
      </c>
      <c r="I242" s="75">
        <f>I241+3984.58-3984.58</f>
        <v>88469.17</v>
      </c>
      <c r="J242" s="75">
        <f>J241+121715.63-121715.63</f>
        <v>562076.13500000001</v>
      </c>
      <c r="K242" s="75">
        <f t="shared" si="60"/>
        <v>0</v>
      </c>
      <c r="L242" s="75">
        <f>J242-H242</f>
        <v>-5.0000000046566129E-3</v>
      </c>
      <c r="M242" s="121"/>
      <c r="N242" s="121"/>
      <c r="O242" s="131"/>
      <c r="P242" s="27"/>
      <c r="Q242" s="159"/>
      <c r="R242" s="247"/>
      <c r="S242" s="10"/>
      <c r="T242" s="10"/>
    </row>
    <row r="243" spans="1:21" s="217" customFormat="1" ht="24" customHeight="1" thickBot="1" x14ac:dyDescent="0.3">
      <c r="A243" s="240"/>
      <c r="B243" s="240"/>
      <c r="C243" s="147" t="s">
        <v>29</v>
      </c>
      <c r="D243" s="187" t="s">
        <v>119</v>
      </c>
      <c r="E243" s="139">
        <f>E242</f>
        <v>31577.360000000001</v>
      </c>
      <c r="F243" s="140" t="s">
        <v>121</v>
      </c>
      <c r="G243" s="222">
        <f>G242/1.95583</f>
        <v>45233.568357168064</v>
      </c>
      <c r="H243" s="222">
        <f>H242/1.95583</f>
        <v>287384.96699610905</v>
      </c>
      <c r="I243" s="222">
        <f>I242/1.95583</f>
        <v>45233.568357168057</v>
      </c>
      <c r="J243" s="222">
        <f>J242/1.95583</f>
        <v>287384.96443964966</v>
      </c>
      <c r="K243" s="222">
        <f>I243-G243</f>
        <v>0</v>
      </c>
      <c r="L243" s="222">
        <f>J243-H243</f>
        <v>-2.5564593961462379E-3</v>
      </c>
      <c r="M243" s="121"/>
      <c r="N243" s="121"/>
      <c r="O243" s="131"/>
      <c r="P243" s="215"/>
      <c r="Q243" s="216"/>
      <c r="R243" s="247"/>
    </row>
    <row r="244" spans="1:21" s="217" customFormat="1" ht="24" customHeight="1" thickBot="1" x14ac:dyDescent="0.3">
      <c r="A244" s="240"/>
      <c r="B244" s="240"/>
      <c r="C244" s="147" t="s">
        <v>29</v>
      </c>
      <c r="D244" s="188" t="s">
        <v>124</v>
      </c>
      <c r="E244" s="178">
        <f>E243+496.76</f>
        <v>32074.12</v>
      </c>
      <c r="F244" s="224">
        <v>1.59</v>
      </c>
      <c r="G244" s="224">
        <f>G243+789.86</f>
        <v>46023.428357168064</v>
      </c>
      <c r="H244" s="224">
        <f>H243+0</f>
        <v>287384.96699610905</v>
      </c>
      <c r="I244" s="224">
        <f>I243+789.86</f>
        <v>46023.428357168057</v>
      </c>
      <c r="J244" s="224">
        <f>J243+24127.78</f>
        <v>311512.74443964963</v>
      </c>
      <c r="K244" s="224">
        <f>I244-G244</f>
        <v>0</v>
      </c>
      <c r="L244" s="224">
        <f>J244-H244</f>
        <v>24127.777443540574</v>
      </c>
      <c r="M244" s="181"/>
      <c r="N244" s="181"/>
      <c r="O244" s="231">
        <f>412314.07/1.95583</f>
        <v>210812.83649396931</v>
      </c>
      <c r="P244" s="215"/>
      <c r="Q244" s="216"/>
      <c r="R244" s="247"/>
    </row>
    <row r="245" spans="1:21" ht="23.25" customHeight="1" thickBot="1" x14ac:dyDescent="0.3">
      <c r="A245" s="240"/>
      <c r="B245" s="240"/>
      <c r="C245" s="53" t="s">
        <v>34</v>
      </c>
      <c r="D245" s="110" t="s">
        <v>68</v>
      </c>
      <c r="E245" s="139">
        <v>65</v>
      </c>
      <c r="F245" s="77">
        <v>3.11</v>
      </c>
      <c r="G245" s="75">
        <v>202.15</v>
      </c>
      <c r="H245" s="75">
        <v>2600</v>
      </c>
      <c r="I245" s="75">
        <v>202.15</v>
      </c>
      <c r="J245" s="75">
        <v>2600</v>
      </c>
      <c r="K245" s="75">
        <f t="shared" ref="K245:L249" si="62">I245-G245</f>
        <v>0</v>
      </c>
      <c r="L245" s="75">
        <f t="shared" si="62"/>
        <v>0</v>
      </c>
      <c r="M245" s="49"/>
      <c r="N245" s="49"/>
      <c r="O245" s="78"/>
      <c r="P245" s="19"/>
      <c r="Q245" s="158"/>
      <c r="R245" s="247"/>
      <c r="S245" s="1"/>
      <c r="T245" s="1"/>
    </row>
    <row r="246" spans="1:21" ht="20.25" customHeight="1" thickBot="1" x14ac:dyDescent="0.3">
      <c r="A246" s="240"/>
      <c r="B246" s="240"/>
      <c r="C246" s="53" t="s">
        <v>34</v>
      </c>
      <c r="D246" s="113" t="s">
        <v>38</v>
      </c>
      <c r="E246" s="80">
        <f>52.92+33.02+71.06+169.88+E245</f>
        <v>391.88</v>
      </c>
      <c r="F246" s="81">
        <v>3.11</v>
      </c>
      <c r="G246" s="125">
        <f>1016.6+G245</f>
        <v>1218.75</v>
      </c>
      <c r="H246" s="75">
        <f>14709.6+H245</f>
        <v>17309.599999999999</v>
      </c>
      <c r="I246" s="125">
        <f>164.58+102.69+221+528.33+I245</f>
        <v>1218.75</v>
      </c>
      <c r="J246" s="75">
        <f>2381.4+1485.9+3197.7+7644.6+J245</f>
        <v>17309.599999999999</v>
      </c>
      <c r="K246" s="125">
        <f t="shared" si="62"/>
        <v>0</v>
      </c>
      <c r="L246" s="75">
        <f t="shared" si="62"/>
        <v>0</v>
      </c>
      <c r="M246" s="82"/>
      <c r="N246" s="82"/>
      <c r="O246" s="83"/>
      <c r="P246" s="84"/>
      <c r="Q246" s="160"/>
      <c r="R246" s="247"/>
      <c r="S246" s="1"/>
      <c r="T246" s="1"/>
    </row>
    <row r="247" spans="1:21" s="11" customFormat="1" ht="26.25" customHeight="1" thickBot="1" x14ac:dyDescent="0.3">
      <c r="A247" s="240"/>
      <c r="B247" s="240"/>
      <c r="C247" s="53" t="s">
        <v>34</v>
      </c>
      <c r="D247" s="113" t="s">
        <v>66</v>
      </c>
      <c r="E247" s="80">
        <f>976.16+E246</f>
        <v>1368.04</v>
      </c>
      <c r="F247" s="109">
        <v>3.11</v>
      </c>
      <c r="G247" s="125">
        <f>3045.19+G246</f>
        <v>4263.9400000000005</v>
      </c>
      <c r="H247" s="126">
        <f>55812.12+H246</f>
        <v>73121.72</v>
      </c>
      <c r="I247" s="127">
        <f>3045.19+I246</f>
        <v>4263.9400000000005</v>
      </c>
      <c r="J247" s="128">
        <f>55812.12+J246</f>
        <v>73121.72</v>
      </c>
      <c r="K247" s="128">
        <f t="shared" si="62"/>
        <v>0</v>
      </c>
      <c r="L247" s="129">
        <f t="shared" si="62"/>
        <v>0</v>
      </c>
      <c r="M247" s="82"/>
      <c r="N247" s="111"/>
      <c r="O247" s="83"/>
      <c r="P247" s="112"/>
      <c r="Q247" s="112"/>
      <c r="R247" s="247"/>
      <c r="S247" s="117"/>
      <c r="T247" s="117"/>
      <c r="U247" s="118"/>
    </row>
    <row r="248" spans="1:21" ht="15.75" thickBot="1" x14ac:dyDescent="0.3">
      <c r="A248" s="240"/>
      <c r="B248" s="240"/>
      <c r="C248" s="53" t="s">
        <v>34</v>
      </c>
      <c r="D248" s="110" t="s">
        <v>78</v>
      </c>
      <c r="E248" s="139">
        <f>E247+1039.94</f>
        <v>2407.98</v>
      </c>
      <c r="F248" s="140">
        <v>3.11</v>
      </c>
      <c r="G248" s="75">
        <f>G247+2731.77-2373.8</f>
        <v>4621.9100000000008</v>
      </c>
      <c r="H248" s="75">
        <f>H247+64879.5-53945</f>
        <v>84056.22</v>
      </c>
      <c r="I248" s="75">
        <f>I247+3234.22-2876.25</f>
        <v>4621.91</v>
      </c>
      <c r="J248" s="75">
        <f>J247+76027.14-65092.64</f>
        <v>84056.219999999987</v>
      </c>
      <c r="K248" s="75">
        <f t="shared" si="62"/>
        <v>0</v>
      </c>
      <c r="L248" s="75">
        <f t="shared" si="62"/>
        <v>0</v>
      </c>
      <c r="M248" s="49"/>
      <c r="N248" s="49"/>
      <c r="O248" s="132"/>
      <c r="P248" s="19"/>
      <c r="Q248" s="158"/>
      <c r="R248" s="247"/>
      <c r="S248" s="1"/>
      <c r="T248" s="1"/>
    </row>
    <row r="249" spans="1:21" ht="15.75" thickBot="1" x14ac:dyDescent="0.3">
      <c r="A249" s="240"/>
      <c r="B249" s="240"/>
      <c r="C249" s="53" t="s">
        <v>34</v>
      </c>
      <c r="D249" s="146" t="s">
        <v>81</v>
      </c>
      <c r="E249" s="139">
        <f>E248+981.82</f>
        <v>3389.8</v>
      </c>
      <c r="F249" s="140">
        <v>3.11</v>
      </c>
      <c r="G249" s="75">
        <f>G248+3053.47</f>
        <v>7675.380000000001</v>
      </c>
      <c r="H249" s="75">
        <f>H248+80509.24-13200+264</f>
        <v>151629.46000000002</v>
      </c>
      <c r="I249" s="75">
        <f>I248+3053.47</f>
        <v>7675.3799999999992</v>
      </c>
      <c r="J249" s="75">
        <f>J248+80509.24-13200+264</f>
        <v>151629.46</v>
      </c>
      <c r="K249" s="75">
        <f t="shared" si="62"/>
        <v>0</v>
      </c>
      <c r="L249" s="75">
        <f t="shared" si="62"/>
        <v>0</v>
      </c>
      <c r="M249" s="49"/>
      <c r="N249" s="49"/>
      <c r="O249" s="132"/>
      <c r="P249" s="19"/>
      <c r="Q249" s="158"/>
      <c r="R249" s="247"/>
      <c r="S249" s="1"/>
      <c r="T249" s="1"/>
    </row>
    <row r="250" spans="1:21" ht="15.75" thickBot="1" x14ac:dyDescent="0.3">
      <c r="A250" s="240"/>
      <c r="B250" s="240"/>
      <c r="C250" s="53" t="s">
        <v>34</v>
      </c>
      <c r="D250" s="162" t="s">
        <v>98</v>
      </c>
      <c r="E250" s="155">
        <f>E249+862.84</f>
        <v>4252.6400000000003</v>
      </c>
      <c r="F250" s="156">
        <v>3.11</v>
      </c>
      <c r="G250" s="125">
        <f>G249+166.07-166.07</f>
        <v>7675.380000000001</v>
      </c>
      <c r="H250" s="125">
        <f>H249+5073-5073</f>
        <v>151629.46000000002</v>
      </c>
      <c r="I250" s="125">
        <f>I249+2683.43-2683.43</f>
        <v>7675.3799999999992</v>
      </c>
      <c r="J250" s="125">
        <f>J249+81969.8-81969.8</f>
        <v>151629.46000000002</v>
      </c>
      <c r="K250" s="125">
        <f t="shared" ref="K250:L252" si="63">I250-G250</f>
        <v>0</v>
      </c>
      <c r="L250" s="125">
        <f t="shared" si="63"/>
        <v>0</v>
      </c>
      <c r="M250" s="82"/>
      <c r="N250" s="82"/>
      <c r="O250" s="157"/>
      <c r="P250" s="84"/>
      <c r="Q250" s="160"/>
      <c r="R250" s="247"/>
      <c r="S250" s="1"/>
      <c r="T250" s="1"/>
    </row>
    <row r="251" spans="1:21" ht="15.75" thickBot="1" x14ac:dyDescent="0.3">
      <c r="A251" s="240"/>
      <c r="B251" s="240"/>
      <c r="C251" s="53" t="s">
        <v>34</v>
      </c>
      <c r="D251" s="110" t="s">
        <v>99</v>
      </c>
      <c r="E251" s="155">
        <f>E250+876.1</f>
        <v>5128.7400000000007</v>
      </c>
      <c r="F251" s="156">
        <v>3.11</v>
      </c>
      <c r="G251" s="125">
        <f t="shared" ref="G251:H253" si="64">G250+0</f>
        <v>7675.380000000001</v>
      </c>
      <c r="H251" s="125">
        <f t="shared" si="64"/>
        <v>151629.46000000002</v>
      </c>
      <c r="I251" s="125">
        <f>I250+2724.67-2724.67</f>
        <v>7675.3799999999992</v>
      </c>
      <c r="J251" s="125">
        <f>J250+83229.5-83229.5</f>
        <v>151629.46000000002</v>
      </c>
      <c r="K251" s="125">
        <f t="shared" si="63"/>
        <v>0</v>
      </c>
      <c r="L251" s="125">
        <f t="shared" si="63"/>
        <v>0</v>
      </c>
      <c r="M251" s="82"/>
      <c r="N251" s="82"/>
      <c r="O251" s="157"/>
      <c r="P251" s="84"/>
      <c r="Q251" s="84"/>
      <c r="R251" s="247"/>
      <c r="S251" s="1"/>
      <c r="T251" s="1"/>
    </row>
    <row r="252" spans="1:21" ht="15.75" thickBot="1" x14ac:dyDescent="0.3">
      <c r="A252" s="240"/>
      <c r="B252" s="240"/>
      <c r="C252" s="53" t="s">
        <v>34</v>
      </c>
      <c r="D252" s="110" t="s">
        <v>103</v>
      </c>
      <c r="E252" s="155">
        <f>E251+506.9</f>
        <v>5635.64</v>
      </c>
      <c r="F252" s="156">
        <v>3.11</v>
      </c>
      <c r="G252" s="125">
        <f t="shared" si="64"/>
        <v>7675.380000000001</v>
      </c>
      <c r="H252" s="125">
        <f t="shared" si="64"/>
        <v>151629.46000000002</v>
      </c>
      <c r="I252" s="125">
        <f>I251+1576.46-1576.46</f>
        <v>7675.38</v>
      </c>
      <c r="J252" s="125">
        <f>J251+48155.6-48155.6</f>
        <v>151629.46000000002</v>
      </c>
      <c r="K252" s="125">
        <f t="shared" si="63"/>
        <v>0</v>
      </c>
      <c r="L252" s="125">
        <f t="shared" si="63"/>
        <v>0</v>
      </c>
      <c r="M252" s="82"/>
      <c r="N252" s="82"/>
      <c r="O252" s="157"/>
      <c r="P252" s="84"/>
      <c r="Q252" s="84"/>
      <c r="R252" s="247"/>
      <c r="S252" s="1"/>
      <c r="T252" s="1"/>
    </row>
    <row r="253" spans="1:21" ht="15.75" thickBot="1" x14ac:dyDescent="0.3">
      <c r="A253" s="241"/>
      <c r="B253" s="241"/>
      <c r="C253" s="147" t="s">
        <v>34</v>
      </c>
      <c r="D253" s="187" t="s">
        <v>119</v>
      </c>
      <c r="E253" s="155">
        <f>E252+423.82</f>
        <v>6059.46</v>
      </c>
      <c r="F253" s="156">
        <v>3.11</v>
      </c>
      <c r="G253" s="125">
        <f t="shared" si="64"/>
        <v>7675.380000000001</v>
      </c>
      <c r="H253" s="125">
        <f t="shared" si="64"/>
        <v>151629.46000000002</v>
      </c>
      <c r="I253" s="125">
        <f>I252+1318.08-1318.08</f>
        <v>7675.3799999999992</v>
      </c>
      <c r="J253" s="125">
        <f>J252+40262.44-40262.44</f>
        <v>151629.46000000002</v>
      </c>
      <c r="K253" s="125">
        <f t="shared" ref="K253:L255" si="65">I253-G253</f>
        <v>0</v>
      </c>
      <c r="L253" s="125">
        <f t="shared" si="65"/>
        <v>0</v>
      </c>
      <c r="M253" s="219"/>
      <c r="N253" s="219"/>
      <c r="O253" s="220"/>
      <c r="P253" s="84"/>
      <c r="Q253" s="84"/>
      <c r="R253" s="247"/>
      <c r="S253" s="1"/>
      <c r="T253" s="1"/>
    </row>
    <row r="254" spans="1:21" s="142" customFormat="1" ht="15.75" thickBot="1" x14ac:dyDescent="0.3">
      <c r="A254" s="218"/>
      <c r="B254" s="218"/>
      <c r="C254" s="147" t="s">
        <v>34</v>
      </c>
      <c r="D254" s="187" t="s">
        <v>119</v>
      </c>
      <c r="E254" s="155">
        <f>E253</f>
        <v>6059.46</v>
      </c>
      <c r="F254" s="140" t="s">
        <v>121</v>
      </c>
      <c r="G254" s="230">
        <f>G253/1.95583</f>
        <v>3924.3594790958318</v>
      </c>
      <c r="H254" s="230">
        <f>H253/1.95583</f>
        <v>77526.911848166768</v>
      </c>
      <c r="I254" s="230">
        <f>I253/1.95583</f>
        <v>3924.3594790958309</v>
      </c>
      <c r="J254" s="230">
        <f>J253/1.95583</f>
        <v>77526.911848166768</v>
      </c>
      <c r="K254" s="230">
        <f t="shared" si="65"/>
        <v>0</v>
      </c>
      <c r="L254" s="230">
        <f t="shared" si="65"/>
        <v>0</v>
      </c>
      <c r="M254" s="219"/>
      <c r="N254" s="219"/>
      <c r="O254" s="220"/>
      <c r="P254" s="221"/>
      <c r="Q254" s="221"/>
      <c r="R254" s="247"/>
    </row>
    <row r="255" spans="1:21" s="142" customFormat="1" ht="15.75" thickBot="1" x14ac:dyDescent="0.3">
      <c r="A255" s="218"/>
      <c r="B255" s="218"/>
      <c r="C255" s="147" t="s">
        <v>34</v>
      </c>
      <c r="D255" s="188" t="s">
        <v>124</v>
      </c>
      <c r="E255" s="237">
        <f>E254+156.12</f>
        <v>6215.58</v>
      </c>
      <c r="F255" s="224">
        <v>1.59</v>
      </c>
      <c r="G255" s="238">
        <f>G254+248.23</f>
        <v>4172.5894790958318</v>
      </c>
      <c r="H255" s="238">
        <f>H254+0</f>
        <v>77526.911848166768</v>
      </c>
      <c r="I255" s="238">
        <f>I254+248.23</f>
        <v>4172.5894790958309</v>
      </c>
      <c r="J255" s="238">
        <f>J254+7582.65</f>
        <v>85109.561848166763</v>
      </c>
      <c r="K255" s="238">
        <f t="shared" si="65"/>
        <v>0</v>
      </c>
      <c r="L255" s="238">
        <f t="shared" si="65"/>
        <v>7582.6499999999942</v>
      </c>
      <c r="M255" s="186"/>
      <c r="N255" s="186"/>
      <c r="O255" s="232">
        <f>59867.6/1.95583</f>
        <v>30609.817826702729</v>
      </c>
      <c r="P255" s="221"/>
      <c r="Q255" s="221"/>
      <c r="R255" s="247"/>
    </row>
    <row r="256" spans="1:21" ht="43.5" thickBot="1" x14ac:dyDescent="0.3">
      <c r="A256" s="168"/>
      <c r="B256" s="169"/>
      <c r="C256" s="164" t="s">
        <v>75</v>
      </c>
      <c r="D256" s="161"/>
      <c r="E256" s="225">
        <f>E193+E210+E227+E244+E255</f>
        <v>110794.42000000001</v>
      </c>
      <c r="F256" s="225"/>
      <c r="G256" s="226">
        <f t="shared" ref="G256:L256" si="66">G193+G210+G227+G244+G255</f>
        <v>177182.15718313967</v>
      </c>
      <c r="H256" s="226">
        <f t="shared" si="66"/>
        <v>1184943.0471973536</v>
      </c>
      <c r="I256" s="226">
        <f t="shared" si="66"/>
        <v>177182.08560227629</v>
      </c>
      <c r="J256" s="226">
        <f t="shared" si="66"/>
        <v>1347705.2357407855</v>
      </c>
      <c r="K256" s="226">
        <f t="shared" si="66"/>
        <v>-7.1580863383132964E-2</v>
      </c>
      <c r="L256" s="226">
        <f t="shared" si="66"/>
        <v>162762.18233062173</v>
      </c>
      <c r="M256" s="180"/>
      <c r="N256" s="180"/>
      <c r="O256" s="233">
        <v>1647418.18</v>
      </c>
      <c r="P256" s="19"/>
      <c r="Q256" s="19"/>
      <c r="R256" s="248"/>
      <c r="S256" s="1"/>
      <c r="T256" s="1"/>
    </row>
    <row r="257" spans="1:20" ht="15" x14ac:dyDescent="0.25">
      <c r="A257" s="85"/>
      <c r="B257" s="92"/>
      <c r="C257" s="93"/>
      <c r="D257" s="94"/>
      <c r="E257" s="86"/>
      <c r="F257" s="87"/>
      <c r="G257" s="88"/>
      <c r="H257" s="88"/>
      <c r="I257" s="88"/>
      <c r="J257" s="88"/>
      <c r="K257" s="88"/>
      <c r="L257" s="88"/>
      <c r="M257" s="89"/>
      <c r="N257" s="89"/>
      <c r="O257" s="90"/>
      <c r="P257" s="91"/>
      <c r="Q257" s="91"/>
      <c r="R257" s="7"/>
      <c r="S257" s="1"/>
      <c r="T257" s="1"/>
    </row>
    <row r="258" spans="1:20" ht="15" x14ac:dyDescent="0.25">
      <c r="A258" s="85"/>
      <c r="B258" s="95"/>
      <c r="C258" s="93"/>
      <c r="D258" s="94"/>
      <c r="E258" s="96"/>
      <c r="F258" s="97"/>
      <c r="G258" s="97"/>
      <c r="H258" s="97"/>
      <c r="I258" s="98"/>
      <c r="J258" s="98"/>
      <c r="K258" s="97"/>
      <c r="L258" s="97"/>
      <c r="M258" s="89"/>
      <c r="N258" s="99"/>
      <c r="O258" s="93"/>
      <c r="P258" s="100"/>
      <c r="Q258" s="100"/>
      <c r="R258" s="2"/>
      <c r="S258" s="1"/>
      <c r="T258" s="1"/>
    </row>
    <row r="259" spans="1:20" ht="15" x14ac:dyDescent="0.25">
      <c r="A259" s="101" t="s">
        <v>60</v>
      </c>
      <c r="B259" s="102"/>
      <c r="C259" s="102"/>
      <c r="D259" s="102"/>
      <c r="E259" s="102"/>
      <c r="F259" s="102"/>
      <c r="G259" s="102"/>
      <c r="H259" s="102"/>
      <c r="I259" s="102"/>
      <c r="J259" s="102"/>
      <c r="K259" s="102"/>
      <c r="L259" s="102"/>
      <c r="M259" s="102"/>
      <c r="N259" s="102"/>
      <c r="O259" s="102"/>
      <c r="P259" s="103"/>
      <c r="Q259" s="103"/>
      <c r="R259" s="5"/>
    </row>
    <row r="260" spans="1:20" ht="29.25" customHeight="1" x14ac:dyDescent="0.25">
      <c r="A260" s="244" t="s">
        <v>33</v>
      </c>
      <c r="B260" s="244"/>
      <c r="C260" s="244"/>
      <c r="D260" s="244"/>
      <c r="E260" s="244"/>
      <c r="F260" s="244"/>
      <c r="G260" s="244"/>
      <c r="H260" s="244"/>
      <c r="I260" s="244"/>
      <c r="J260" s="244"/>
      <c r="K260" s="104"/>
      <c r="L260" s="102"/>
      <c r="M260" s="102"/>
      <c r="N260" s="102"/>
      <c r="O260" s="102"/>
      <c r="P260" s="103"/>
      <c r="Q260" s="103"/>
      <c r="R260" s="5"/>
    </row>
    <row r="261" spans="1:20" ht="17.25" customHeight="1" x14ac:dyDescent="0.25">
      <c r="A261" s="244" t="s">
        <v>64</v>
      </c>
      <c r="B261" s="244"/>
      <c r="C261" s="244"/>
      <c r="D261" s="244"/>
      <c r="E261" s="244"/>
      <c r="F261" s="244"/>
      <c r="G261" s="244"/>
      <c r="H261" s="244"/>
      <c r="I261" s="244"/>
      <c r="J261" s="244"/>
      <c r="K261" s="104"/>
      <c r="L261" s="102"/>
      <c r="M261" s="102"/>
      <c r="N261" s="102"/>
      <c r="O261" s="102"/>
      <c r="P261" s="103"/>
      <c r="Q261" s="103"/>
      <c r="R261" s="5"/>
    </row>
    <row r="262" spans="1:20" ht="27.75" customHeight="1" x14ac:dyDescent="0.25">
      <c r="A262" s="245" t="s">
        <v>63</v>
      </c>
      <c r="B262" s="245"/>
      <c r="C262" s="245"/>
      <c r="D262" s="245"/>
      <c r="E262" s="245"/>
      <c r="F262" s="245"/>
      <c r="G262" s="245"/>
      <c r="H262" s="245"/>
      <c r="I262" s="245"/>
      <c r="J262" s="245"/>
      <c r="K262" s="105"/>
      <c r="L262" s="102"/>
      <c r="M262" s="102"/>
      <c r="N262" s="102"/>
      <c r="O262" s="102"/>
      <c r="P262" s="103"/>
      <c r="Q262" s="103"/>
      <c r="R262" s="5"/>
    </row>
    <row r="263" spans="1:20" ht="32.25" customHeight="1" x14ac:dyDescent="0.3">
      <c r="A263" s="245" t="s">
        <v>62</v>
      </c>
      <c r="B263" s="245"/>
      <c r="C263" s="245"/>
      <c r="D263" s="245"/>
      <c r="E263" s="245"/>
      <c r="F263" s="245"/>
      <c r="G263" s="245"/>
      <c r="H263" s="245"/>
      <c r="I263" s="245"/>
      <c r="J263" s="245"/>
      <c r="K263" s="106"/>
      <c r="L263" s="102"/>
      <c r="M263" s="143"/>
      <c r="N263" s="102"/>
      <c r="O263" s="102"/>
      <c r="P263" s="103"/>
      <c r="Q263" s="103"/>
      <c r="R263" s="5"/>
    </row>
    <row r="264" spans="1:20" ht="12.75" customHeight="1" x14ac:dyDescent="0.25">
      <c r="A264" s="243" t="s">
        <v>61</v>
      </c>
      <c r="B264" s="243"/>
      <c r="C264" s="243"/>
      <c r="D264" s="243"/>
      <c r="E264" s="243"/>
      <c r="F264" s="243"/>
      <c r="G264" s="243"/>
      <c r="H264" s="243"/>
      <c r="I264" s="243"/>
      <c r="J264" s="243"/>
      <c r="K264" s="106"/>
      <c r="L264" s="102"/>
      <c r="M264" s="102"/>
      <c r="N264" s="102"/>
      <c r="O264" s="102"/>
      <c r="P264" s="103"/>
      <c r="Q264" s="103"/>
      <c r="R264" s="5"/>
    </row>
    <row r="265" spans="1:20" ht="15" x14ac:dyDescent="0.25">
      <c r="A265" s="242" t="s">
        <v>126</v>
      </c>
      <c r="B265" s="242"/>
      <c r="C265" s="242"/>
      <c r="D265" s="242"/>
      <c r="E265" s="242"/>
      <c r="F265" s="242"/>
      <c r="G265" s="242"/>
      <c r="H265" s="242"/>
      <c r="I265" s="242"/>
      <c r="J265" s="242"/>
      <c r="K265" s="103"/>
      <c r="L265" s="103"/>
      <c r="M265" s="103"/>
      <c r="N265" s="103"/>
      <c r="O265" s="103"/>
      <c r="P265" s="103"/>
      <c r="Q265" s="103"/>
      <c r="R265" s="6"/>
    </row>
    <row r="266" spans="1:20" ht="41.25" customHeight="1" x14ac:dyDescent="0.25">
      <c r="A266" s="242" t="s">
        <v>76</v>
      </c>
      <c r="B266" s="242"/>
      <c r="C266" s="242"/>
      <c r="D266" s="242"/>
      <c r="E266" s="242"/>
      <c r="F266" s="242"/>
      <c r="G266" s="242"/>
      <c r="H266" s="242"/>
      <c r="I266" s="242"/>
      <c r="J266" s="242"/>
      <c r="K266" s="103"/>
      <c r="L266" s="103"/>
      <c r="M266" s="103"/>
      <c r="N266" s="103"/>
      <c r="O266" s="103"/>
      <c r="P266" s="103"/>
      <c r="Q266" s="103"/>
      <c r="R266" s="6"/>
    </row>
    <row r="267" spans="1:20" ht="41.25" customHeight="1" x14ac:dyDescent="0.25">
      <c r="A267" s="242" t="s">
        <v>82</v>
      </c>
      <c r="B267" s="242"/>
      <c r="C267" s="242"/>
      <c r="D267" s="242"/>
      <c r="E267" s="242"/>
      <c r="F267" s="242"/>
      <c r="G267" s="242"/>
      <c r="H267" s="242"/>
      <c r="I267" s="242"/>
      <c r="J267" s="242"/>
      <c r="K267" s="103"/>
      <c r="L267" s="153"/>
      <c r="M267" s="153"/>
      <c r="N267" s="103"/>
      <c r="O267" s="103"/>
      <c r="P267" s="103"/>
      <c r="Q267" s="103"/>
      <c r="R267" s="6"/>
    </row>
    <row r="268" spans="1:20" ht="41.25" customHeight="1" x14ac:dyDescent="0.25">
      <c r="A268" s="242" t="s">
        <v>88</v>
      </c>
      <c r="B268" s="242"/>
      <c r="C268" s="242"/>
      <c r="D268" s="242"/>
      <c r="E268" s="242"/>
      <c r="F268" s="242"/>
      <c r="G268" s="242"/>
      <c r="H268" s="242"/>
      <c r="I268" s="242"/>
      <c r="J268" s="242"/>
      <c r="K268" s="103"/>
      <c r="L268" s="153"/>
      <c r="M268" s="153"/>
      <c r="N268" s="103"/>
      <c r="O268" s="103"/>
      <c r="P268" s="103"/>
      <c r="Q268" s="103"/>
      <c r="R268" s="6"/>
    </row>
    <row r="269" spans="1:20" ht="20.25" customHeight="1" x14ac:dyDescent="0.25">
      <c r="A269" s="242" t="s">
        <v>117</v>
      </c>
      <c r="B269" s="242"/>
      <c r="C269" s="242"/>
      <c r="D269" s="242"/>
      <c r="E269" s="242"/>
      <c r="F269" s="242"/>
      <c r="G269" s="242"/>
      <c r="H269" s="242"/>
      <c r="I269" s="242"/>
      <c r="J269" s="242"/>
      <c r="K269" s="103"/>
      <c r="L269" s="103"/>
      <c r="M269" s="103"/>
      <c r="N269" s="103"/>
      <c r="O269" s="103"/>
      <c r="P269" s="103"/>
      <c r="Q269" s="103"/>
      <c r="R269" s="6"/>
    </row>
    <row r="270" spans="1:20" ht="42" customHeight="1" x14ac:dyDescent="0.25">
      <c r="A270" s="242" t="s">
        <v>85</v>
      </c>
      <c r="B270" s="242"/>
      <c r="C270" s="242"/>
      <c r="D270" s="242"/>
      <c r="E270" s="242"/>
      <c r="F270" s="242"/>
      <c r="G270" s="242"/>
      <c r="H270" s="242"/>
      <c r="I270" s="242"/>
      <c r="J270" s="242"/>
      <c r="K270" s="103"/>
      <c r="L270" s="103"/>
      <c r="M270" s="103"/>
      <c r="N270" s="103"/>
      <c r="O270" s="103"/>
      <c r="P270" s="103"/>
      <c r="Q270" s="103"/>
      <c r="R270" s="6"/>
    </row>
    <row r="271" spans="1:20" ht="32.25" customHeight="1" x14ac:dyDescent="0.25">
      <c r="A271" s="242" t="s">
        <v>86</v>
      </c>
      <c r="B271" s="242"/>
      <c r="C271" s="242"/>
      <c r="D271" s="242"/>
      <c r="E271" s="242"/>
      <c r="F271" s="242"/>
      <c r="G271" s="242"/>
      <c r="H271" s="242"/>
      <c r="I271" s="242"/>
      <c r="J271" s="242"/>
      <c r="K271" s="103"/>
      <c r="L271" s="103"/>
      <c r="M271" s="103"/>
      <c r="N271" s="103"/>
      <c r="O271" s="103"/>
      <c r="P271" s="103"/>
      <c r="Q271" s="103"/>
      <c r="R271" s="6"/>
    </row>
    <row r="272" spans="1:20" ht="35.25" customHeight="1" x14ac:dyDescent="0.25">
      <c r="A272" s="265" t="s">
        <v>87</v>
      </c>
      <c r="B272" s="265"/>
      <c r="C272" s="265"/>
      <c r="D272" s="265"/>
      <c r="E272" s="265"/>
      <c r="F272" s="265"/>
      <c r="G272" s="265"/>
      <c r="H272" s="265"/>
      <c r="I272" s="265"/>
      <c r="J272" s="265"/>
      <c r="K272" s="103"/>
      <c r="L272" s="103"/>
      <c r="M272" s="103"/>
      <c r="N272" s="103"/>
      <c r="O272" s="103"/>
      <c r="P272" s="103"/>
      <c r="Q272" s="103"/>
      <c r="R272" s="6"/>
    </row>
    <row r="273" spans="1:18" ht="34.5" customHeight="1" x14ac:dyDescent="0.25">
      <c r="A273" s="242" t="s">
        <v>100</v>
      </c>
      <c r="B273" s="242"/>
      <c r="C273" s="242"/>
      <c r="D273" s="242"/>
      <c r="E273" s="242"/>
      <c r="F273" s="242"/>
      <c r="G273" s="242"/>
      <c r="H273" s="242"/>
      <c r="I273" s="242"/>
      <c r="J273" s="242"/>
      <c r="K273" s="103"/>
      <c r="L273" s="103"/>
      <c r="M273" s="103"/>
      <c r="N273" s="103"/>
      <c r="O273" s="103"/>
      <c r="P273" s="103"/>
      <c r="Q273" s="103"/>
      <c r="R273" s="6"/>
    </row>
    <row r="274" spans="1:18" ht="34.5" customHeight="1" x14ac:dyDescent="0.25">
      <c r="A274" s="242" t="s">
        <v>104</v>
      </c>
      <c r="B274" s="242"/>
      <c r="C274" s="242"/>
      <c r="D274" s="242"/>
      <c r="E274" s="242"/>
      <c r="F274" s="242"/>
      <c r="G274" s="242"/>
      <c r="H274" s="242"/>
      <c r="I274" s="242"/>
      <c r="J274" s="242"/>
      <c r="K274" s="103"/>
      <c r="L274" s="103"/>
      <c r="M274" s="103"/>
      <c r="N274" s="103"/>
      <c r="O274" s="103"/>
      <c r="P274" s="103"/>
      <c r="Q274" s="103"/>
      <c r="R274" s="6"/>
    </row>
    <row r="275" spans="1:18" ht="34.5" customHeight="1" x14ac:dyDescent="0.25">
      <c r="A275" s="242" t="s">
        <v>120</v>
      </c>
      <c r="B275" s="242"/>
      <c r="C275" s="242"/>
      <c r="D275" s="242"/>
      <c r="E275" s="242"/>
      <c r="F275" s="242"/>
      <c r="G275" s="242"/>
      <c r="H275" s="242"/>
      <c r="I275" s="242"/>
      <c r="J275" s="242"/>
      <c r="K275" s="103"/>
      <c r="L275" s="103"/>
      <c r="M275" s="103"/>
      <c r="N275" s="103"/>
      <c r="O275" s="103"/>
      <c r="P275" s="103"/>
      <c r="Q275" s="103"/>
      <c r="R275" s="6"/>
    </row>
    <row r="276" spans="1:18" ht="12" customHeight="1" x14ac:dyDescent="0.25">
      <c r="A276" s="170"/>
      <c r="B276" s="170"/>
      <c r="C276" s="170"/>
      <c r="D276" s="170"/>
      <c r="E276" s="170"/>
      <c r="F276" s="170"/>
      <c r="G276" s="170"/>
      <c r="H276" s="170"/>
      <c r="I276" s="170"/>
      <c r="J276" s="170"/>
      <c r="K276" s="103"/>
      <c r="L276" s="103"/>
      <c r="M276" s="103"/>
      <c r="N276" s="103"/>
      <c r="O276" s="103"/>
      <c r="P276" s="103"/>
      <c r="Q276" s="103"/>
      <c r="R276" s="6"/>
    </row>
  </sheetData>
  <mergeCells count="58">
    <mergeCell ref="R33:R95"/>
    <mergeCell ref="N81:N83"/>
    <mergeCell ref="R97:R161"/>
    <mergeCell ref="C2:C3"/>
    <mergeCell ref="D2:E2"/>
    <mergeCell ref="N2:N3"/>
    <mergeCell ref="F56:F57"/>
    <mergeCell ref="C4:C11"/>
    <mergeCell ref="O2:O3"/>
    <mergeCell ref="F2:F3"/>
    <mergeCell ref="I2:I3"/>
    <mergeCell ref="K2:K3"/>
    <mergeCell ref="H2:H3"/>
    <mergeCell ref="F27:F28"/>
    <mergeCell ref="A1:R1"/>
    <mergeCell ref="P2:P3"/>
    <mergeCell ref="Q2:Q3"/>
    <mergeCell ref="J2:J3"/>
    <mergeCell ref="L2:L3"/>
    <mergeCell ref="R2:R3"/>
    <mergeCell ref="A2:A3"/>
    <mergeCell ref="B2:B3"/>
    <mergeCell ref="M2:M3"/>
    <mergeCell ref="B97:B159"/>
    <mergeCell ref="A263:J263"/>
    <mergeCell ref="B33:B92"/>
    <mergeCell ref="B163:B253"/>
    <mergeCell ref="A33:A92"/>
    <mergeCell ref="A97:A161"/>
    <mergeCell ref="G2:G3"/>
    <mergeCell ref="F120:F121"/>
    <mergeCell ref="A4:A31"/>
    <mergeCell ref="B4:B31"/>
    <mergeCell ref="C33:C38"/>
    <mergeCell ref="C188:E188"/>
    <mergeCell ref="C191:E191"/>
    <mergeCell ref="A268:J268"/>
    <mergeCell ref="A272:J272"/>
    <mergeCell ref="R163:R256"/>
    <mergeCell ref="N127:N130"/>
    <mergeCell ref="N199:N200"/>
    <mergeCell ref="N167:N168"/>
    <mergeCell ref="N197:N198"/>
    <mergeCell ref="A275:J275"/>
    <mergeCell ref="A271:J271"/>
    <mergeCell ref="A266:J266"/>
    <mergeCell ref="A262:J262"/>
    <mergeCell ref="A270:J270"/>
    <mergeCell ref="A269:J269"/>
    <mergeCell ref="A267:J267"/>
    <mergeCell ref="A274:J274"/>
    <mergeCell ref="A273:J273"/>
    <mergeCell ref="A163:A253"/>
    <mergeCell ref="A265:J265"/>
    <mergeCell ref="A264:J264"/>
    <mergeCell ref="A260:J260"/>
    <mergeCell ref="A261:J261"/>
    <mergeCell ref="C185:E185"/>
  </mergeCells>
  <phoneticPr fontId="2" type="noConversion"/>
  <pageMargins left="0.19685039370078741" right="0.19685039370078741" top="0.39370078740157483" bottom="0.39370078740157483" header="0" footer="0"/>
  <pageSetup paperSize="9" scale="4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7" sqref="E27"/>
    </sheetView>
  </sheetViews>
  <sheetFormatPr defaultRowHeight="12.75" x14ac:dyDescent="0.2"/>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heetViews>
  <sheetFormatPr defaultRowHeight="12.75" x14ac:dyDescent="0.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RIEW-Smolyan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Pavlina</dc:creator>
  <cp:lastModifiedBy>Ivan Penelov</cp:lastModifiedBy>
  <cp:lastPrinted>2025-10-10T07:28:43Z</cp:lastPrinted>
  <dcterms:created xsi:type="dcterms:W3CDTF">2014-03-20T13:05:14Z</dcterms:created>
  <dcterms:modified xsi:type="dcterms:W3CDTF">2026-07-01T11:04:49Z</dcterms:modified>
</cp:coreProperties>
</file>